
<file path=[Content_Types].xml><?xml version="1.0" encoding="utf-8"?>
<Types xmlns="http://schemas.openxmlformats.org/package/2006/content-types">
  <Default Extension="bin" ContentType="application/vnd.openxmlformats-officedocument.spreadsheetml.printerSettings"/>
  <Default Extension="png" ContentType="image/png"/>
  <Default Extension="jpeg" ContentType="image/jpe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worksheets/sheet57.xml" ContentType="application/vnd.openxmlformats-officedocument.spreadsheetml.worksheet+xml"/>
  <Override PartName="/xl/worksheets/sheet58.xml" ContentType="application/vnd.openxmlformats-officedocument.spreadsheetml.worksheet+xml"/>
  <Override PartName="/xl/worksheets/sheet59.xml" ContentType="application/vnd.openxmlformats-officedocument.spreadsheetml.worksheet+xml"/>
  <Override PartName="/xl/worksheets/sheet60.xml" ContentType="application/vnd.openxmlformats-officedocument.spreadsheetml.worksheet+xml"/>
  <Override PartName="/xl/worksheets/sheet61.xml" ContentType="application/vnd.openxmlformats-officedocument.spreadsheetml.worksheet+xml"/>
  <Override PartName="/xl/worksheets/sheet62.xml" ContentType="application/vnd.openxmlformats-officedocument.spreadsheetml.worksheet+xml"/>
  <Override PartName="/xl/worksheets/sheet63.xml" ContentType="application/vnd.openxmlformats-officedocument.spreadsheetml.worksheet+xml"/>
  <Override PartName="/xl/worksheets/sheet64.xml" ContentType="application/vnd.openxmlformats-officedocument.spreadsheetml.worksheet+xml"/>
  <Override PartName="/xl/worksheets/sheet65.xml" ContentType="application/vnd.openxmlformats-officedocument.spreadsheetml.worksheet+xml"/>
  <Override PartName="/xl/worksheets/sheet66.xml" ContentType="application/vnd.openxmlformats-officedocument.spreadsheetml.worksheet+xml"/>
  <Override PartName="/xl/worksheets/sheet67.xml" ContentType="application/vnd.openxmlformats-officedocument.spreadsheetml.worksheet+xml"/>
  <Override PartName="/xl/worksheets/sheet68.xml" ContentType="application/vnd.openxmlformats-officedocument.spreadsheetml.worksheet+xml"/>
  <Override PartName="/xl/worksheets/sheet69.xml" ContentType="application/vnd.openxmlformats-officedocument.spreadsheetml.worksheet+xml"/>
  <Override PartName="/xl/worksheets/sheet70.xml" ContentType="application/vnd.openxmlformats-officedocument.spreadsheetml.worksheet+xml"/>
  <Override PartName="/xl/worksheets/sheet71.xml" ContentType="application/vnd.openxmlformats-officedocument.spreadsheetml.worksheet+xml"/>
  <Override PartName="/xl/worksheets/sheet72.xml" ContentType="application/vnd.openxmlformats-officedocument.spreadsheetml.worksheet+xml"/>
  <Override PartName="/xl/worksheets/sheet73.xml" ContentType="application/vnd.openxmlformats-officedocument.spreadsheetml.worksheet+xml"/>
  <Override PartName="/xl/worksheets/sheet74.xml" ContentType="application/vnd.openxmlformats-officedocument.spreadsheetml.worksheet+xml"/>
  <Override PartName="/xl/worksheets/sheet75.xml" ContentType="application/vnd.openxmlformats-officedocument.spreadsheetml.worksheet+xml"/>
  <Override PartName="/xl/worksheets/sheet76.xml" ContentType="application/vnd.openxmlformats-officedocument.spreadsheetml.worksheet+xml"/>
  <Override PartName="/xl/worksheets/sheet77.xml" ContentType="application/vnd.openxmlformats-officedocument.spreadsheetml.worksheet+xml"/>
  <Override PartName="/xl/worksheets/sheet78.xml" ContentType="application/vnd.openxmlformats-officedocument.spreadsheetml.worksheet+xml"/>
  <Override PartName="/xl/worksheets/sheet79.xml" ContentType="application/vnd.openxmlformats-officedocument.spreadsheetml.worksheet+xml"/>
  <Override PartName="/xl/worksheets/sheet80.xml" ContentType="application/vnd.openxmlformats-officedocument.spreadsheetml.worksheet+xml"/>
  <Override PartName="/xl/worksheets/sheet81.xml" ContentType="application/vnd.openxmlformats-officedocument.spreadsheetml.worksheet+xml"/>
  <Override PartName="/xl/worksheets/sheet82.xml" ContentType="application/vnd.openxmlformats-officedocument.spreadsheetml.worksheet+xml"/>
  <Override PartName="/xl/worksheets/sheet83.xml" ContentType="application/vnd.openxmlformats-officedocument.spreadsheetml.worksheet+xml"/>
  <Override PartName="/xl/worksheets/sheet84.xml" ContentType="application/vnd.openxmlformats-officedocument.spreadsheetml.worksheet+xml"/>
  <Override PartName="/xl/worksheets/sheet85.xml" ContentType="application/vnd.openxmlformats-officedocument.spreadsheetml.worksheet+xml"/>
  <Override PartName="/xl/worksheets/sheet8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drawings/drawing2.xml" ContentType="application/vnd.openxmlformats-officedocument.drawing+xml"/>
  <Override PartName="/xl/drawings/drawing3.xml" ContentType="application/vnd.openxmlformats-officedocument.drawing+xml"/>
  <Override PartName="/xl/comments2.xml" ContentType="application/vnd.openxmlformats-officedocument.spreadsheetml.comments+xml"/>
  <Override PartName="/xl/comments3.xml" ContentType="application/vnd.openxmlformats-officedocument.spreadsheetml.comments+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Z:\Отдел\ФЭО 2024 год\Никешина Е.В\Шаблон BALANCE 2023\"/>
    </mc:Choice>
  </mc:AlternateContent>
  <bookViews>
    <workbookView xWindow="0" yWindow="0" windowWidth="20490" windowHeight="7665" tabRatio="751" firstSheet="3" activeTab="66"/>
  </bookViews>
  <sheets>
    <sheet name="Инструкция" sheetId="1" r:id="rId1"/>
    <sheet name="Титульный" sheetId="2" r:id="rId2"/>
    <sheet name="Список территорий" sheetId="3" r:id="rId3"/>
    <sheet name="Дифференциация" sheetId="4" r:id="rId4"/>
    <sheet name="Перечень тарифов" sheetId="5" state="hidden" r:id="rId5"/>
    <sheet name="Дифференциация тариф показатель" sheetId="6" state="hidden" r:id="rId6"/>
    <sheet name="Общая информация об организации" sheetId="7" state="hidden" r:id="rId7"/>
    <sheet name="Общая информация по ВД" sheetId="8" state="hidden" r:id="rId8"/>
    <sheet name="Виды объектов" sheetId="9" state="hidden" r:id="rId9"/>
    <sheet name="Сведения по территориям" sheetId="10" state="hidden" r:id="rId10"/>
    <sheet name="DATA_FORMS" sheetId="11" state="hidden" r:id="rId11"/>
    <sheet name="DATA_NPA" sheetId="12" state="hidden" r:id="rId12"/>
    <sheet name="TEHSHEET" sheetId="13" state="hidden" r:id="rId13"/>
    <sheet name="et_union_hor" sheetId="14" state="hidden" r:id="rId14"/>
    <sheet name="Договоры" sheetId="15" state="hidden" r:id="rId15"/>
    <sheet name="ТС. Т-ТЭ | &gt;=25МВт" sheetId="16" state="hidden" r:id="rId16"/>
    <sheet name="ТС. Т-ТЭ | ТСО" sheetId="17" state="hidden" r:id="rId17"/>
    <sheet name="ТС. Резерв мощности" sheetId="18" state="hidden" r:id="rId18"/>
    <sheet name="ТС. Т-ТН" sheetId="19" state="hidden" r:id="rId19"/>
    <sheet name="ТС. Т-передача ТЭ" sheetId="20" state="hidden" r:id="rId20"/>
    <sheet name="ТС. Т-передача ТН" sheetId="21" state="hidden" r:id="rId21"/>
    <sheet name="ТС. Т-гор.вода" sheetId="22" state="hidden" r:id="rId22"/>
    <sheet name="ТС. Т-подкл" sheetId="23" state="hidden" r:id="rId23"/>
    <sheet name="Т-ТЭ | потр" sheetId="24" state="hidden" r:id="rId24"/>
    <sheet name="Т-ТЭ | предел" sheetId="25" state="hidden" r:id="rId25"/>
    <sheet name="Т-ТЭ | индикат" sheetId="26" state="hidden" r:id="rId26"/>
    <sheet name="Т-подкл(инд)" sheetId="27" state="hidden" r:id="rId27"/>
    <sheet name="Порядок ТП" sheetId="28" state="hidden" r:id="rId28"/>
    <sheet name="Сведения о закупках" sheetId="29" state="hidden" r:id="rId29"/>
    <sheet name="modMainProcedures" sheetId="30" state="hidden" r:id="rId30"/>
    <sheet name="Потребительские характеристики" sheetId="31" state="hidden" r:id="rId31"/>
    <sheet name="ТП" sheetId="32" state="hidden" r:id="rId32"/>
    <sheet name="Ограничения" sheetId="33" state="hidden" r:id="rId33"/>
    <sheet name="Предложение" sheetId="34" state="hidden" r:id="rId34"/>
    <sheet name="ХВС. Т-пит" sheetId="35" state="hidden" r:id="rId35"/>
    <sheet name="ХВС. Т-тех" sheetId="36" state="hidden" r:id="rId36"/>
    <sheet name="ХВС. Т-транс" sheetId="37" state="hidden" r:id="rId37"/>
    <sheet name="ХВС. Т-подвоз" sheetId="38" state="hidden" r:id="rId38"/>
    <sheet name="ХВС. Т-подкл" sheetId="39" state="hidden" r:id="rId39"/>
    <sheet name="Показатели ФХД" sheetId="40" r:id="rId40"/>
    <sheet name="Показатели ФХД &gt;20%" sheetId="41" state="hidden" r:id="rId41"/>
    <sheet name="ТКО. Показатели ФХД" sheetId="42" state="hidden" r:id="rId42"/>
    <sheet name="ТКО. Транс. Показатели ФХД" sheetId="43" state="hidden" r:id="rId43"/>
    <sheet name="Показатели КНЭ" sheetId="44" r:id="rId44"/>
    <sheet name="ИП" sheetId="45" r:id="rId45"/>
    <sheet name="ИП. Детализация" sheetId="46" r:id="rId46"/>
    <sheet name="ИП. Финансовый план" sheetId="47" state="hidden" r:id="rId47"/>
    <sheet name="ИП. КНЭ" sheetId="48" r:id="rId48"/>
    <sheet name="ГВС. Т-гор.вода" sheetId="49" state="hidden" r:id="rId49"/>
    <sheet name="ГВС. Т-транс" sheetId="50" state="hidden" r:id="rId50"/>
    <sheet name="ГВС. Т-подкл" sheetId="51" state="hidden" r:id="rId51"/>
    <sheet name="ВО. Т-во" sheetId="52" state="hidden" r:id="rId52"/>
    <sheet name="ВО. Т-транс" sheetId="53" state="hidden" r:id="rId53"/>
    <sheet name="ВО. Т-подкл" sheetId="54" state="hidden" r:id="rId54"/>
    <sheet name="modB_FHD" sheetId="55" state="hidden" r:id="rId55"/>
    <sheet name="modB_FHD20" sheetId="56" state="hidden" r:id="rId56"/>
    <sheet name="modB_KNE" sheetId="57" state="hidden" r:id="rId57"/>
    <sheet name="modIP_MAIN" sheetId="58" state="hidden" r:id="rId58"/>
    <sheet name="modIP_QRE" sheetId="59" state="hidden" r:id="rId59"/>
    <sheet name="modIP_DETAILED" sheetId="60" state="hidden" r:id="rId60"/>
    <sheet name="ЭД" sheetId="61" state="hidden" r:id="rId61"/>
    <sheet name="Сведения об изменении" sheetId="62" state="hidden" r:id="rId62"/>
    <sheet name="Орган регулирования" sheetId="63" state="hidden" r:id="rId63"/>
    <sheet name="Перечень организаций" sheetId="64" state="hidden" r:id="rId64"/>
    <sheet name="Дела об установлении тарифов" sheetId="65" state="hidden" r:id="rId65"/>
    <sheet name="Привлечение к ответственности" sheetId="66" state="hidden" r:id="rId66"/>
    <sheet name="Комментарии" sheetId="67" r:id="rId67"/>
    <sheet name="Проверка" sheetId="68" state="hidden" r:id="rId68"/>
    <sheet name="et_union_vert" sheetId="69" state="hidden" r:id="rId69"/>
    <sheet name="Легенда" sheetId="70" state="hidden" r:id="rId70"/>
    <sheet name="modfrmListIP" sheetId="71" state="hidden" r:id="rId71"/>
    <sheet name="modfrmActivity" sheetId="72" state="hidden" r:id="rId72"/>
    <sheet name="REESTR_ORG" sheetId="73" state="hidden" r:id="rId73"/>
    <sheet name="REESTR_MO" sheetId="74" state="hidden" r:id="rId74"/>
    <sheet name="REESTR_IP" sheetId="75" state="hidden" r:id="rId75"/>
    <sheet name="REESTR_OBJ_INFR" sheetId="76" state="hidden" r:id="rId76"/>
    <sheet name="REESTR_DS" sheetId="77" state="hidden" r:id="rId77"/>
    <sheet name="REESTR_VT" sheetId="78" state="hidden" r:id="rId78"/>
    <sheet name="REESTR_VED" sheetId="79" state="hidden" r:id="rId79"/>
    <sheet name="REESTR_MO_FILTER" sheetId="80" state="hidden" r:id="rId80"/>
    <sheet name="REESTR_LINK" sheetId="81" state="hidden" r:id="rId81"/>
    <sheet name="modSheetMain" sheetId="82" state="hidden" r:id="rId82"/>
    <sheet name="modfrmReportMode" sheetId="83" state="hidden" r:id="rId83"/>
    <sheet name="modfrmReestrObj" sheetId="84" state="hidden" r:id="rId84"/>
    <sheet name="AllSheetsInThisWorkbook" sheetId="85" state="hidden" r:id="rId85"/>
    <sheet name="modInfo" sheetId="86" state="hidden" r:id="rId86"/>
  </sheets>
  <definedNames>
    <definedName name="_xlnm._FilterDatabase" localSheetId="67">Проверка!$B$4:$E$5</definedName>
    <definedName name="anscount">1</definedName>
    <definedName name="B_FHD_CHECK_INDEX_1">'Показатели ФХД'!$L$66</definedName>
    <definedName name="B_FHD_CHECK_INDEX_2">'Показатели ФХД'!$L$68</definedName>
    <definedName name="B_FHD_COSTS_INDEX_1">'Показатели ФХД'!$H$65:$J$65</definedName>
    <definedName name="B_FHD_COSTS_INDEX_2">'Показатели ФХД'!$H$67:$J$67</definedName>
    <definedName name="B_FHD_DATA_TOP80_ACTIVITY">'Показатели ФХД'!$H$82:$J$82</definedName>
    <definedName name="B_FHD_diff_1">'Показатели ФХД'!$I$25:$I$27</definedName>
    <definedName name="B_FHD_FLAG_DIFFERENTIATION">'Показатели ФХД'!$H$24:$J$24</definedName>
    <definedName name="B_FHD_FLAG_INDEX_1">'Показатели ФХД'!$H$66:$J$66</definedName>
    <definedName name="B_FHD_FLAG_INDEX_2">'Показатели ФХД'!$H$68:$J$68</definedName>
    <definedName name="B_FHD_TKO_DATA_TOP80_ACTIVITY">'ТКО. Показатели ФХД'!$H$43:$J$43</definedName>
    <definedName name="B_FHD_TKO_diff_1">'ТКО. Показатели ФХД'!$I$10:$I$12</definedName>
    <definedName name="B_FHD_TKO_FLAG_DIFFERENTIATION">'ТКО. Показатели ФХД'!$H$9:$J$9</definedName>
    <definedName name="B_FHD_TKO_TRANS_DATA_TOP80_ACTIVITY">'ТКО. Транс. Показатели ФХД'!$H$35:$J$35</definedName>
    <definedName name="B_FHD_TKO_TRANS_diff_1">'ТКО. Транс. Показатели ФХД'!$I$10:$I$12</definedName>
    <definedName name="B_FHD_TKO_TRANS_FLAG_DIFFERENTIATION">'ТКО. Транс. Показатели ФХД'!$H$9:$J$9</definedName>
    <definedName name="B_FHD20_ADD_HL_2_COLUMN_MARKER">'Показатели ФХД &gt;20%'!$G$8</definedName>
    <definedName name="B_FHD20_ADD_HL_3_COLUMN_MARKER">'Показатели ФХД &gt;20%'!$J$8</definedName>
    <definedName name="B_FHD20_ADD_HL_4_COLUMN_MARKER">'Показатели ФХД &gt;20%'!$N$8</definedName>
    <definedName name="B_FHD20_ALL_DATA">'Показатели ФХД &gt;20%'!$D$13:$S$23</definedName>
    <definedName name="B_FHD20_COSTS_OPS_diff_1">'Показатели ФХД &gt;20%'!$Q$17</definedName>
    <definedName name="B_FHD20_COSTS_PH_diff_1">'Показатели ФХД &gt;20%'!$Q$20</definedName>
    <definedName name="B_FHD20_DEL_HL_2_COLUMN_MARKER">'Показатели ФХД &gt;20%'!$E$8</definedName>
    <definedName name="B_FHD20_DEL_HL_3_COLUMN_MARKER">'Показатели ФХД &gt;20%'!$H$8</definedName>
    <definedName name="B_FHD20_DEL_HL_4_COLUMN_MARKER">'Показатели ФХД &gt;20%'!$L$8</definedName>
    <definedName name="B_FHD20_diff_1">'Показатели ФХД &gt;20%'!$H$14:$R$16</definedName>
    <definedName name="B_FHD20_FLAG_FHD">'Показатели ФХД &gt;20%'!$V$11:$V$23</definedName>
    <definedName name="B_FHD20_NUMBER_COLUMN_MARKER">'Показатели ФХД &gt;20%'!$D$8</definedName>
    <definedName name="B_FHD20_PART_COLUMN_MARKER">'Показатели ФХД &gt;20%'!$R$8</definedName>
    <definedName name="B_KNE_diff_1">'Показатели КНЭ'!$I$7:$J$9</definedName>
    <definedName name="BLOCK_BALANCE_INDICATORS">Титульный!$48:$58</definedName>
    <definedName name="BLOCK_BALANCE_TKO_FLAG_TRANS">Титульный!$59:$60</definedName>
    <definedName name="BLOCK_CONNECTION_STATE">Титульный!$46:$47</definedName>
    <definedName name="BLOCK_DIFF_CS">Титульный!$38:$39</definedName>
    <definedName name="BLOCK_DIFFERENTIATION_NOT_TKO">Дифференциация!$J:$M</definedName>
    <definedName name="BLOCK_FIRST_TARIFF">Титульный!$18:$22</definedName>
    <definedName name="BLOCK_FIRST_TARIFF_OREG_PUBL">Титульный!$21:$22</definedName>
    <definedName name="BLOCK_MAIN_INFO_HEAT">'Общая информация об организации'!$19:$23</definedName>
    <definedName name="BLOCK_MAIN_INFO_NOT_TKO">'Общая информация об организации'!$45:$48</definedName>
    <definedName name="BLOCK_MAIN_INFO_OBJECT_COLDVSNA">'Общая информация по ВД'!$X:$Z</definedName>
    <definedName name="BLOCK_MAIN_INFO_OBJECT_COMM_COLDVSNA">'Общая информация по ВД'!$AG:$AG</definedName>
    <definedName name="BLOCK_MAIN_INFO_OBJECT_COMM_HEAT">'Общая информация по ВД'!$AE:$AE</definedName>
    <definedName name="BLOCK_MAIN_INFO_OBJECT_COMM_HOTVSNA">'Общая информация по ВД'!$AH:$AH</definedName>
    <definedName name="BLOCK_MAIN_INFO_OBJECT_COMM_VOTV">'Общая информация по ВД'!$AF:$AF</definedName>
    <definedName name="BLOCK_MAIN_INFO_OBJECT_HEAT">'Общая информация по ВД'!$H:$R</definedName>
    <definedName name="BLOCK_MAIN_INFO_OBJECT_HOTVSNA">'Общая информация по ВД'!$AB:$AC</definedName>
    <definedName name="BLOCK_MAIN_INFO_OBJECT_VOTV">'Общая информация по ВД'!$T:$V</definedName>
    <definedName name="BLOCK_NOTE_P_TARIFF_A">'ТС. Т-ТЭ | &gt;=25МВт'!$58:$60</definedName>
    <definedName name="BLOCK_NOTE_P_TARIFF_A_COLDVSNA">'ХВС. Т-пит'!$54:$55</definedName>
    <definedName name="BLOCK_NOTE_P_TARIFF_A_HOTVSNA">'ГВС. Т-гор.вода'!$54:$55</definedName>
    <definedName name="BLOCK_NOTE_P_TARIFF_A_VOTV">'ВО. Т-во'!$54:$55</definedName>
    <definedName name="BLOCK_NOTE_P_TARIFF_B">'ТС. Т-ТЭ | ТСО'!$58:$60</definedName>
    <definedName name="BLOCK_NOTE_P_TARIFF_B_COLDVSNA">'ХВС. Т-тех'!$54:$55</definedName>
    <definedName name="BLOCK_NOTE_P_TARIFF_B_HOTVSNA">'ГВС. Т-транс'!$54:$55</definedName>
    <definedName name="BLOCK_NOTE_P_TARIFF_B_VOTV">'ВО. Т-транс'!$54:$55</definedName>
    <definedName name="BLOCK_NOTE_P_TARIFF_C">'ТС. Т-ТН'!$58:$61</definedName>
    <definedName name="BLOCK_NOTE_P_TARIFF_C_COLDVSNA">'ХВС. Т-транс'!$54:$55</definedName>
    <definedName name="BLOCK_NOTE_P_TARIFF_C_HOTVSNA">'ГВС. Т-подкл'!$64:$65</definedName>
    <definedName name="BLOCK_NOTE_P_TARIFF_C_VOTV">'ВО. Т-подкл'!$64:$65</definedName>
    <definedName name="BLOCK_NOTE_P_TARIFF_D">'ТС. Т-гор.вода'!$66:$68</definedName>
    <definedName name="BLOCK_NOTE_P_TARIFF_D_COLDVSNA">'ХВС. Т-подвоз'!$54:$55</definedName>
    <definedName name="BLOCK_NOTE_P_TARIFF_E_COLDVSNA">'ХВС. Т-подкл'!$64:$65</definedName>
    <definedName name="BLOCK_NOTE_P_TARIFF_E1">'ТС. Т-передача ТЭ'!$58:$61</definedName>
    <definedName name="BLOCK_NOTE_P_TARIFF_E2">'ТС. Т-передача ТН'!$58:$61</definedName>
    <definedName name="BLOCK_NOTE_P_TARIFF_F">'ТС. Резерв мощности'!$58:$60</definedName>
    <definedName name="BLOCK_NOTE_P_TARIFF_G">'ТС. Т-подкл'!$63:$65</definedName>
    <definedName name="BLOCK_NOTE_R_TARIFF_A">'ТС. Т-ТЭ | &gt;=25МВт'!$61:$64</definedName>
    <definedName name="BLOCK_NOTE_R_TARIFF_A_COLDVSNA">'ХВС. Т-пит'!$56:$57</definedName>
    <definedName name="BLOCK_NOTE_R_TARIFF_A_HOTVSNA">'ГВС. Т-гор.вода'!$56:$57</definedName>
    <definedName name="BLOCK_NOTE_R_TARIFF_A_VOTV">'ВО. Т-во'!$56:$57</definedName>
    <definedName name="BLOCK_NOTE_R_TARIFF_B">'ТС. Т-ТЭ | ТСО'!$61:$64</definedName>
    <definedName name="BLOCK_NOTE_R_TARIFF_B_COLDVSNA">'ХВС. Т-тех'!$56:$57</definedName>
    <definedName name="BLOCK_NOTE_R_TARIFF_B_HOTVSNA">'ГВС. Т-транс'!$56:$57</definedName>
    <definedName name="BLOCK_NOTE_R_TARIFF_B_VOTV">'ВО. Т-транс'!$56:$57</definedName>
    <definedName name="BLOCK_NOTE_R_TARIFF_C">'ТС. Т-ТН'!$62:$65</definedName>
    <definedName name="BLOCK_NOTE_R_TARIFF_C_COLDVSNA">'ХВС. Т-транс'!$56:$57</definedName>
    <definedName name="BLOCK_NOTE_R_TARIFF_C_HOTVSNA">'ГВС. Т-подкл'!$66:$67</definedName>
    <definedName name="BLOCK_NOTE_R_TARIFF_C_VOTV">'ВО. Т-подкл'!$66:$67</definedName>
    <definedName name="BLOCK_NOTE_R_TARIFF_D">'ТС. Т-гор.вода'!$69:$71</definedName>
    <definedName name="BLOCK_NOTE_R_TARIFF_D_COLDVSNA">'ХВС. Т-подвоз'!$56:$57</definedName>
    <definedName name="BLOCK_NOTE_R_TARIFF_E_COLDVSNA">'ХВС. Т-подкл'!$66:$67</definedName>
    <definedName name="BLOCK_NOTE_R_TARIFF_E1">'ТС. Т-передача ТЭ'!$62:$65</definedName>
    <definedName name="BLOCK_NOTE_R_TARIFF_E2">'ТС. Т-передача ТН'!$62:$65</definedName>
    <definedName name="BLOCK_NOTE_R_TARIFF_F">'ТС. Резерв мощности'!$61:$64</definedName>
    <definedName name="BLOCK_NOTE_R_TARIFF_G">'ТС. Т-подкл'!$66:$68</definedName>
    <definedName name="BLOCK_PERIOD_DATA">Титульный!$11:$11</definedName>
    <definedName name="BLOCK_PERIOD_QUARTER">Титульный!$13:$13</definedName>
    <definedName name="BLOCK_PERIOD_TWO_DATA">Титульный!$9:$10</definedName>
    <definedName name="BLOCK_PERIOD_YEAR">Титульный!$12:$12</definedName>
    <definedName name="BLOCK_POK_FHD_COLDVSNA_P1">'Показатели ФХД'!$83:$91</definedName>
    <definedName name="BLOCK_POK_FHD_COLDVSNA_P2">'Показатели ФХД'!$116:$120</definedName>
    <definedName name="BLOCK_POK_FHD_HEAT_P1">'Показатели ФХД'!$33:$40</definedName>
    <definedName name="BLOCK_POK_FHD_HEAT_P2">'Показатели ФХД'!$73:$73</definedName>
    <definedName name="BLOCK_POK_FHD_HEAT_P3">'Показатели ФХД'!$100:$112</definedName>
    <definedName name="BLOCK_POK_FHD_HEAT_P4">'Показатели ФХД'!$114:$114</definedName>
    <definedName name="BLOCK_POK_FHD_HEAT_P5">'Показатели ФХД'!$121:$131</definedName>
    <definedName name="BLOCK_POK_FHD_HEAT_P6">'Показатели ФХД'!$47:$47</definedName>
    <definedName name="BLOCK_POK_FHD_HOTVSNA_P1">'Показатели ФХД'!$41:$43</definedName>
    <definedName name="BLOCK_POK_FHD_HOTVSNA_P2">'Показатели ФХД'!$92:$96</definedName>
    <definedName name="BLOCK_POK_FHD_NOT_HEAT_P1">'Показатели ФХД'!$67:$68</definedName>
    <definedName name="BLOCK_POK_FHD_NOT_HEAT_P2">'Показатели ФХД'!$81:$81</definedName>
    <definedName name="BLOCK_POK_FHD_NOT_HOTVSNA">'Показатели ФХД'!$48:$48</definedName>
    <definedName name="BLOCK_POK_FHD_VOTV_P1">'Показатели ФХД'!$97:$99</definedName>
    <definedName name="BLOCK_POK_FHD_VSNA">'Показатели ФХД'!$115:$115</definedName>
    <definedName name="BLOCK_POK_FHD20_NOT_HEAT">'Показатели ФХД &gt;20%'!$20:$22</definedName>
    <definedName name="BLOCK_POK_KNE_COLDVSNA">'Показатели КНЭ'!$37:$63</definedName>
    <definedName name="BLOCK_POK_KNE_HEAT">'Показатели КНЭ'!$13:$35</definedName>
    <definedName name="BLOCK_POK_KNE_HOTVSNA">'Показатели КНЭ'!$65:$75</definedName>
    <definedName name="BLOCK_POK_KNE_VOTV">'Показатели КНЭ'!$77:$100</definedName>
    <definedName name="BLOCK_PRICE_INDICATORS_HEAT">Титульный!$40:$45</definedName>
    <definedName name="BLOCK_PRICE_IST_TE">'Перечень тарифов'!$S:$V</definedName>
    <definedName name="BLOCK_PRICE_REQUEST">Титульный!$18:$22</definedName>
    <definedName name="BLOCK_PT_COLDVSNA">'Перечень тарифов'!$64:$88</definedName>
    <definedName name="BLOCK_PT_HEAT">'Перечень тарифов'!$13:$62</definedName>
    <definedName name="BLOCK_PT_HOTVSNA">'Перечень тарифов'!$90:$104</definedName>
    <definedName name="BLOCK_PT_VOTV">'Перечень тарифов'!$106:$120</definedName>
    <definedName name="BLOCK_TABLE_P_TARIFF_A">'ТС. Т-ТЭ | &gt;=25МВт'!$28:$32</definedName>
    <definedName name="BLOCK_TABLE_P_TARIFF_A_COLDVSNA">'ХВС. Т-пит'!$26:$30</definedName>
    <definedName name="BLOCK_TABLE_P_TARIFF_A_HOTVSNA">'ГВС. Т-гор.вода'!$26:$30</definedName>
    <definedName name="BLOCK_TABLE_P_TARIFF_A_VOTV">'ВО. Т-во'!$26:$30</definedName>
    <definedName name="BLOCK_TABLE_P_TARIFF_B">'ТС. Т-ТЭ | ТСО'!$28:$32</definedName>
    <definedName name="BLOCK_TABLE_P_TARIFF_B_COLDVSNA">'ХВС. Т-тех'!$26:$30</definedName>
    <definedName name="BLOCK_TABLE_P_TARIFF_B_HOTVSNA">'ГВС. Т-транс'!$26:$30</definedName>
    <definedName name="BLOCK_TABLE_P_TARIFF_B_VOTV">'ВО. Т-транс'!$26:$30</definedName>
    <definedName name="BLOCK_TABLE_P_TARIFF_C">'ТС. Т-ТН'!$28:$32</definedName>
    <definedName name="BLOCK_TABLE_P_TARIFF_C_COLDVSNA">'ХВС. Т-транс'!$26:$30</definedName>
    <definedName name="BLOCK_TABLE_P_TARIFF_C_HOTVSNA">'ГВС. Т-подкл'!$30:$34</definedName>
    <definedName name="BLOCK_TABLE_P_TARIFF_C_VOTV">'ВО. Т-подкл'!$30:$34</definedName>
    <definedName name="BLOCK_TABLE_P_TARIFF_D">'ТС. Т-гор.вода'!$32:$36</definedName>
    <definedName name="BLOCK_TABLE_P_TARIFF_D_COLDVSNA">'ХВС. Т-подвоз'!$26:$30</definedName>
    <definedName name="BLOCK_TABLE_P_TARIFF_E_COLDVSNA">'ХВС. Т-подкл'!$30:$34</definedName>
    <definedName name="BLOCK_TABLE_P_TARIFF_E1">'ТС. Т-передача ТЭ'!$28:$32</definedName>
    <definedName name="BLOCK_TABLE_P_TARIFF_E2">'ТС. Т-передача ТН'!$28:$32</definedName>
    <definedName name="BLOCK_TABLE_P_TARIFF_F">'ТС. Резерв мощности'!$28:$32</definedName>
    <definedName name="BLOCK_TABLE_P_TARIFF_G">'ТС. Т-подкл'!$29:$33</definedName>
    <definedName name="BLOCK_TABLE_R_TARIFF_A">'ТС. Т-ТЭ | &gt;=25МВт'!$33:$35</definedName>
    <definedName name="BLOCK_TABLE_R_TARIFF_A_COLDVSNA">'ХВС. Т-пит'!$31:$33</definedName>
    <definedName name="BLOCK_TABLE_R_TARIFF_A_HOTVSNA">'ГВС. Т-гор.вода'!$31:$33</definedName>
    <definedName name="BLOCK_TABLE_R_TARIFF_A_VOTV">'ВО. Т-во'!$31:$33</definedName>
    <definedName name="BLOCK_TABLE_R_TARIFF_B">'ТС. Т-ТЭ | ТСО'!$33:$35</definedName>
    <definedName name="BLOCK_TABLE_R_TARIFF_B_COLDVSNA">'ХВС. Т-тех'!$31:$33</definedName>
    <definedName name="BLOCK_TABLE_R_TARIFF_B_HOTVSNA">'ГВС. Т-транс'!$31:$33</definedName>
    <definedName name="BLOCK_TABLE_R_TARIFF_B_VOTV">'ВО. Т-транс'!$31:$33</definedName>
    <definedName name="BLOCK_TABLE_R_TARIFF_C">'ТС. Т-ТН'!$33:$35</definedName>
    <definedName name="BLOCK_TABLE_R_TARIFF_C_COLDVSNA">'ХВС. Т-транс'!$31:$33</definedName>
    <definedName name="BLOCK_TABLE_R_TARIFF_C_HOTVSNA">'ГВС. Т-подкл'!$35:$37</definedName>
    <definedName name="BLOCK_TABLE_R_TARIFF_C_VOTV">'ВО. Т-подкл'!$35:$37</definedName>
    <definedName name="BLOCK_TABLE_R_TARIFF_D">'ТС. Т-гор.вода'!$37:$39</definedName>
    <definedName name="BLOCK_TABLE_R_TARIFF_D_COLDVSNA">'ХВС. Т-подвоз'!$31:$33</definedName>
    <definedName name="BLOCK_TABLE_R_TARIFF_E_COLDVSNA">'ХВС. Т-подкл'!$35:$37</definedName>
    <definedName name="BLOCK_TABLE_R_TARIFF_E1">'ТС. Т-передача ТЭ'!$33:$35</definedName>
    <definedName name="BLOCK_TABLE_R_TARIFF_E2">'ТС. Т-передача ТН'!$33:$35</definedName>
    <definedName name="BLOCK_TABLE_R_TARIFF_F">'ТС. Резерв мощности'!$33:$35</definedName>
    <definedName name="BLOCK_TABLE_R_TARIFF_G">'ТС. Т-подкл'!$34:$36</definedName>
    <definedName name="BLOCK_TEMPLATES_INVEST_TIT">Титульный!$57:$58</definedName>
    <definedName name="BLOCK_TERMS_HEAT_P1">Договоры!$19:$19</definedName>
    <definedName name="BLOCK_TERMS_NOT_TKO_P1">Договоры!$16:$18</definedName>
    <definedName name="BLOCK_TERMS_NOT_TKO_P2">Договоры!$20:$22</definedName>
    <definedName name="BLOCK_TERMS_TKO_TRANS">Договоры!$23:$26</definedName>
    <definedName name="BLOCK_TERRITORY_INFO">'Список территорий'!$7:$7</definedName>
    <definedName name="BLOCK_WARM_ORG_TYPE">Титульный!$34:$34</definedName>
    <definedName name="checkCell_List01">'Список территорий'!$E$15:$I$15</definedName>
    <definedName name="checkCell_List07">'Сведения об изменении'!$D$11:$E$13</definedName>
    <definedName name="CLASS_TKO_LIST">TEHSHEET!$AZ$90:$AZ$94</definedName>
    <definedName name="code">Инструкция!$B$2</definedName>
    <definedName name="CodeTemplateList">TEHSHEET!$F$46:$F$53</definedName>
    <definedName name="COLDVSNA_FIN_SRC_LIST">TEHSHEET!$BJ$4:$BJ$34</definedName>
    <definedName name="COLDVSNA_FIN_SRC_VLD_LIST">TEHSHEET!$BJ$39:$BJ$60</definedName>
    <definedName name="COLDVSNA_IP_EVENT_CI_STAGE_LIST">TEHSHEET!$BJ$97:$BJ$100</definedName>
    <definedName name="COLDVSNA_IP_EVENT_GROUP_LIST">TEHSHEET!$BJ$69:$BJ$76</definedName>
    <definedName name="COLDVSNA_IP_EVENT_SUBGROUP_1_LIST">TEHSHEET!$BJ$80:$BJ$83</definedName>
    <definedName name="COLDVSNA_IP_EVENT_SUBGROUP_3_LIST">TEHSHEET!$BJ$87:$BJ$88</definedName>
    <definedName name="COLDVSNA_IP_EVENT_SUBGROUP_5_LIST">TEHSHEET!$BJ$92:$BJ$93</definedName>
    <definedName name="COLDVSNA_IP_EVENT_TYPE_LIST">TEHSHEET!$BJ$108</definedName>
    <definedName name="COLDVSNA_PT_VED_ID">TEHSHEET!$BT$19:$BT$21</definedName>
    <definedName name="COLDVSNA_PT_VED_NAME">TEHSHEET!$BU$19:$BU$21</definedName>
    <definedName name="COLDVSNA_PT_VED_NAME_LIST">TEHSHEET!$BT$19:$BU$21</definedName>
    <definedName name="COLDVSNA_TARIFF_A_COLDVSNA_ADD_HL_COLUMN_MARKER">'ХВС. Т-пит'!$T$34</definedName>
    <definedName name="COLDVSNA_TARIFF_A_COLDVSNA_DEL_HL_DATA_DIFF_COLUMN_MARKER">'ХВС. Т-пит'!$R$34</definedName>
    <definedName name="COLDVSNA_TARIFF_A_COLDVSNA_DEL_HL_FLAG_DIFF_COLUMN_MARKER">'ХВС. Т-пит'!$P$34</definedName>
    <definedName name="COLDVSNA_TARIFF_A_COLDVSNA_DEL_HL_GC_COLUMN_MARKER">'ХВС. Т-пит'!$Q$34</definedName>
    <definedName name="COLDVSNA_TARIFF_A_COLDVSNA_DELETE_PERIOD_ROW_MARKER">'ХВС. Т-пит'!$O$35</definedName>
    <definedName name="COLDVSNA_TARIFF_A_COLDVSNA_FLAG_BLOCK_COLUMN_MARKER">'ХВС. Т-пит'!$L$36</definedName>
    <definedName name="COLDVSNA_TARIFF_A_COLDVSNA_FLAG_BLOCK_ROW_MARKER">'ХВС. Т-пит'!$O$20</definedName>
    <definedName name="COLDVSNA_TARIFF_A_COLDVSNA_NUM_CS_COLUMN_MARKER">'ХВС. Т-пит'!$G$36</definedName>
    <definedName name="COLDVSNA_TARIFF_A_COLDVSNA_NUM_DATA_DIFF_COLUMN_MARKER">'ХВС. Т-пит'!$K$36</definedName>
    <definedName name="COLDVSNA_TARIFF_A_COLDVSNA_NUM_FLAG_DIFF_COLUMN_MARKER">'ХВС. Т-пит'!$I$36</definedName>
    <definedName name="COLDVSNA_TARIFF_A_COLDVSNA_NUM_GC_COLUMN_MARKER">'ХВС. Т-пит'!$J$36</definedName>
    <definedName name="COLDVSNA_TARIFF_A_COLDVSNA_NUM_NTAR_COLUMN_MARKER">'ХВС. Т-пит'!$E$36</definedName>
    <definedName name="COLDVSNA_TARIFF_A_COLDVSNA_NUM_TER_COLUMN_MARKER">'ХВС. Т-пит'!$F$36</definedName>
    <definedName name="COLDVSNA_TARIFF_B_COLDVSNA_ADD_HL_COLUMN_MARKER">'ХВС. Т-тех'!$T$34</definedName>
    <definedName name="COLDVSNA_TARIFF_B_COLDVSNA_DEL_HL_DATA_DIFF_COLUMN_MARKER">'ХВС. Т-тех'!$R$34</definedName>
    <definedName name="COLDVSNA_TARIFF_B_COLDVSNA_DEL_HL_FLAG_DIFF_COLUMN_MARKER">'ХВС. Т-тех'!$P$34</definedName>
    <definedName name="COLDVSNA_TARIFF_B_COLDVSNA_DEL_HL_GC_COLUMN_MARKER">'ХВС. Т-тех'!$Q$34</definedName>
    <definedName name="COLDVSNA_TARIFF_B_COLDVSNA_DELETE_PERIOD_ROW_MARKER">'ХВС. Т-тех'!$O$35</definedName>
    <definedName name="COLDVSNA_TARIFF_B_COLDVSNA_FLAG_BLOCK_COLUMN_MARKER">'ХВС. Т-тех'!$L$36</definedName>
    <definedName name="COLDVSNA_TARIFF_B_COLDVSNA_FLAG_BLOCK_ROW_MARKER">'ХВС. Т-тех'!$O$20</definedName>
    <definedName name="COLDVSNA_TARIFF_B_COLDVSNA_NUM_CS_COLUMN_MARKER">'ХВС. Т-тех'!$G$36</definedName>
    <definedName name="COLDVSNA_TARIFF_B_COLDVSNA_NUM_DATA_DIFF_COLUMN_MARKER">'ХВС. Т-тех'!$K$36</definedName>
    <definedName name="COLDVSNA_TARIFF_B_COLDVSNA_NUM_FLAG_DIFF_COLUMN_MARKER">'ХВС. Т-тех'!$I$36</definedName>
    <definedName name="COLDVSNA_TARIFF_B_COLDVSNA_NUM_GC_COLUMN_MARKER">'ХВС. Т-тех'!$J$36</definedName>
    <definedName name="COLDVSNA_TARIFF_B_COLDVSNA_NUM_NTAR_COLUMN_MARKER">'ХВС. Т-тех'!$E$36</definedName>
    <definedName name="COLDVSNA_TARIFF_B_COLDVSNA_NUM_TER_COLUMN_MARKER">'ХВС. Т-тех'!$F$36</definedName>
    <definedName name="COLDVSNA_TARIFF_C_COLDVSNA_ADD_HL_COLUMN_MARKER">'ХВС. Т-транс'!$T$34</definedName>
    <definedName name="COLDVSNA_TARIFF_C_COLDVSNA_DEL_HL_DATA_DIFF_COLUMN_MARKER">'ХВС. Т-транс'!$R$34</definedName>
    <definedName name="COLDVSNA_TARIFF_C_COLDVSNA_DEL_HL_FLAG_DIFF_COLUMN_MARKER">'ХВС. Т-транс'!$P$34</definedName>
    <definedName name="COLDVSNA_TARIFF_C_COLDVSNA_DEL_HL_GC_COLUMN_MARKER">'ХВС. Т-транс'!$Q$34</definedName>
    <definedName name="COLDVSNA_TARIFF_C_COLDVSNA_DELETE_PERIOD_ROW_MARKER">'ХВС. Т-транс'!$O$35</definedName>
    <definedName name="COLDVSNA_TARIFF_C_COLDVSNA_FLAG_BLOCK_COLUMN_MARKER">'ХВС. Т-транс'!$L$36</definedName>
    <definedName name="COLDVSNA_TARIFF_C_COLDVSNA_FLAG_BLOCK_ROW_MARKER">'ХВС. Т-транс'!$O$20</definedName>
    <definedName name="COLDVSNA_TARIFF_C_COLDVSNA_NUM_CS_COLUMN_MARKER">'ХВС. Т-транс'!$G$36</definedName>
    <definedName name="COLDVSNA_TARIFF_C_COLDVSNA_NUM_DATA_DIFF_COLUMN_MARKER">'ХВС. Т-транс'!$K$36</definedName>
    <definedName name="COLDVSNA_TARIFF_C_COLDVSNA_NUM_FLAG_DIFF_COLUMN_MARKER">'ХВС. Т-транс'!$I$36</definedName>
    <definedName name="COLDVSNA_TARIFF_C_COLDVSNA_NUM_GC_COLUMN_MARKER">'ХВС. Т-транс'!$J$36</definedName>
    <definedName name="COLDVSNA_TARIFF_C_COLDVSNA_NUM_NTAR_COLUMN_MARKER">'ХВС. Т-транс'!$E$36</definedName>
    <definedName name="COLDVSNA_TARIFF_C_COLDVSNA_NUM_TER_COLUMN_MARKER">'ХВС. Т-транс'!$F$36</definedName>
    <definedName name="COLDVSNA_TARIFF_D_COLDVSNA_ADD_HL_COLUMN_MARKER">'ХВС. Т-подвоз'!$T$34</definedName>
    <definedName name="COLDVSNA_TARIFF_D_COLDVSNA_DEL_HL_DATA_DIFF_COLUMN_MARKER">'ХВС. Т-подвоз'!$R$34</definedName>
    <definedName name="COLDVSNA_TARIFF_D_COLDVSNA_DEL_HL_FLAG_DIFF_COLUMN_MARKER">'ХВС. Т-подвоз'!$P$34</definedName>
    <definedName name="COLDVSNA_TARIFF_D_COLDVSNA_DEL_HL_GC_COLUMN_MARKER">'ХВС. Т-подвоз'!$Q$34</definedName>
    <definedName name="COLDVSNA_TARIFF_D_COLDVSNA_DELETE_PERIOD_ROW_MARKER">'ХВС. Т-подвоз'!$O$35</definedName>
    <definedName name="COLDVSNA_TARIFF_D_COLDVSNA_FLAG_BLOCK_COLUMN_MARKER">'ХВС. Т-подвоз'!$L$36</definedName>
    <definedName name="COLDVSNA_TARIFF_D_COLDVSNA_FLAG_BLOCK_ROW_MARKER">'ХВС. Т-подвоз'!$O$20</definedName>
    <definedName name="COLDVSNA_TARIFF_D_COLDVSNA_NUM_CS_COLUMN_MARKER">'ХВС. Т-подвоз'!$G$36</definedName>
    <definedName name="COLDVSNA_TARIFF_D_COLDVSNA_NUM_DATA_DIFF_COLUMN_MARKER">'ХВС. Т-подвоз'!$K$36</definedName>
    <definedName name="COLDVSNA_TARIFF_D_COLDVSNA_NUM_FLAG_DIFF_COLUMN_MARKER">'ХВС. Т-подвоз'!$I$36</definedName>
    <definedName name="COLDVSNA_TARIFF_D_COLDVSNA_NUM_GC_COLUMN_MARKER">'ХВС. Т-подвоз'!$J$36</definedName>
    <definedName name="COLDVSNA_TARIFF_D_COLDVSNA_NUM_NTAR_COLUMN_MARKER">'ХВС. Т-подвоз'!$E$36</definedName>
    <definedName name="COLDVSNA_TARIFF_D_COLDVSNA_NUM_TER_COLUMN_MARKER">'ХВС. Т-подвоз'!$F$36</definedName>
    <definedName name="COLDVSNA_TARIFF_E_COLDVSNA_ADD_HL_COLUMN_MARKER">'ХВС. Т-подкл'!$T$38</definedName>
    <definedName name="COLDVSNA_TARIFF_E_COLDVSNA_ADD_HL_DIAMETERS_COLUMN_MARKER">'ХВС. Т-подкл'!$AK$38</definedName>
    <definedName name="COLDVSNA_TARIFF_E_COLDVSNA_ADD_HL_LEN_COLUMN_MARKER">'ХВС. Т-подкл'!$AO$38</definedName>
    <definedName name="COLDVSNA_TARIFF_E_COLDVSNA_ADD_HL_LOAD_COLUMN_MARKER">'ХВС. Т-подкл'!$AG$38</definedName>
    <definedName name="COLDVSNA_TARIFF_E_COLDVSNA_ADD_HL_NETS_COLUMN_MARKER">'ХВС. Т-подкл'!$AS$38</definedName>
    <definedName name="COLDVSNA_TARIFF_E_COLDVSNA_DEL_HL_DATA_DIFF_COLUMN_MARKER">'ХВС. Т-подкл'!$R$38</definedName>
    <definedName name="COLDVSNA_TARIFF_E_COLDVSNA_DEL_HL_DIAMETERS_COLUMN_MARKER">'ХВС. Т-подкл'!$AI$38</definedName>
    <definedName name="COLDVSNA_TARIFF_E_COLDVSNA_DEL_HL_FLAG_DIFF_COLUMN_MARKER">'ХВС. Т-подкл'!$P$38</definedName>
    <definedName name="COLDVSNA_TARIFF_E_COLDVSNA_DEL_HL_GC_COLUMN_MARKER">'ХВС. Т-подкл'!$Q$38</definedName>
    <definedName name="COLDVSNA_TARIFF_E_COLDVSNA_DEL_HL_LEN_COLUMN_MARKER">'ХВС. Т-подкл'!$AM$38</definedName>
    <definedName name="COLDVSNA_TARIFF_E_COLDVSNA_DEL_HL_LOAD_COLUMN_MARKER">'ХВС. Т-подкл'!$AE$38</definedName>
    <definedName name="COLDVSNA_TARIFF_E_COLDVSNA_DEL_HL_NETS_COLUMN_MARKER">'ХВС. Т-подкл'!$AQ$38</definedName>
    <definedName name="COLDVSNA_TARIFF_E_COLDVSNA_DELETE_PERIOD_ROW_MARKER">'ХВС. Т-подкл'!$O$39</definedName>
    <definedName name="COLDVSNA_TARIFF_E_COLDVSNA_FLAG_BLOCK_COLUMN_MARKER">'ХВС. Т-подкл'!$L$44</definedName>
    <definedName name="COLDVSNA_TARIFF_E_COLDVSNA_FLAG_BLOCK_ROW_MARKER">'ХВС. Т-подкл'!$O$24</definedName>
    <definedName name="COLDVSNA_TARIFF_E_COLDVSNA_NUM_CS_COLUMN_MARKER">'ХВС. Т-подкл'!$G$44</definedName>
    <definedName name="COLDVSNA_TARIFF_E_COLDVSNA_NUM_DATA_DIFF_COLUMN_MARKER">'ХВС. Т-подкл'!$K$44</definedName>
    <definedName name="COLDVSNA_TARIFF_E_COLDVSNA_NUM_DIAMETERS_COLUMN_MARKER">'ХВС. Т-подкл'!$AJ$38</definedName>
    <definedName name="COLDVSNA_TARIFF_E_COLDVSNA_NUM_FLAG_DIFF_COLUMN_MARKER">'ХВС. Т-подкл'!$I$44</definedName>
    <definedName name="COLDVSNA_TARIFF_E_COLDVSNA_NUM_GC_COLUMN_MARKER">'ХВС. Т-подкл'!$J$44</definedName>
    <definedName name="COLDVSNA_TARIFF_E_COLDVSNA_NUM_LEN_COLUMN_MARKER">'ХВС. Т-подкл'!$AN$38</definedName>
    <definedName name="COLDVSNA_TARIFF_E_COLDVSNA_NUM_LOAD_COLUMN_MARKER">'ХВС. Т-подкл'!$AF$38</definedName>
    <definedName name="COLDVSNA_TARIFF_E_COLDVSNA_NUM_NETS_COLUMN_MARKER">'ХВС. Т-подкл'!$AR$38</definedName>
    <definedName name="COLDVSNA_TARIFF_E_COLDVSNA_NUM_NTAR_COLUMN_MARKER">'ХВС. Т-подкл'!$E$44</definedName>
    <definedName name="COLDVSNA_TARIFF_E_COLDVSNA_NUM_TER_COLUMN_MARKER">'ХВС. Т-подкл'!$F$44</definedName>
    <definedName name="cross_without_borders">TEHSHEET!$J$27</definedName>
    <definedName name="CS_ID">TEHSHEET!$E$63</definedName>
    <definedName name="CURRENT_DATE">TEHSHEET!$H$29</definedName>
    <definedName name="DATA_URL">TEHSHEET!$H$32</definedName>
    <definedName name="DESCRIPTION_TERRITORY">REESTR_DS!$B$2</definedName>
    <definedName name="DIFFERENTIATION_AREA">Дифференциация!$I$12:$I$16</definedName>
    <definedName name="DIFFERENTIATION_AREA_ID">Дифференциация!$U$11:$U$17</definedName>
    <definedName name="DIFFERENTIATION_CheckC">Дифференциация!$D$12:$M$16</definedName>
    <definedName name="DIFFERENTIATION_fieldMarker">Дифференциация!$W$12:$W$16</definedName>
    <definedName name="DIFFERENTIATION_ID">TEHSHEET!$E$57</definedName>
    <definedName name="DIFFERENTIATION_ID_DIFF">Дифференциация!$O$12:$O$16</definedName>
    <definedName name="DIFFERENTIATION_SYSTEM">Дифференциация!$M$12:$M$16</definedName>
    <definedName name="DIFFERENTIATION_TARIFF_AREA_ID">'Перечень тарифов'!$Z$12:$Z$122</definedName>
    <definedName name="DIFFERENTIATION_TARIFF_VD_ID">'Перечень тарифов'!$AB$12:$AB$122</definedName>
    <definedName name="DIFFERENTIATION_TARIFF_VTAR_ID">'Перечень тарифов'!$AA$12:$AA$122</definedName>
    <definedName name="DIFFERENTIATION_TKO_ADD_HL_CLASS_TKO_COLUMN_MARKER">'Дифференциация тариф показатель'!$AH$7</definedName>
    <definedName name="DIFFERENTIATION_TKO_ADD_HL_NTAR_COLUMN_MARKER">'Дифференциация тариф показатель'!$J$7</definedName>
    <definedName name="DIFFERENTIATION_TKO_ADD_HL_TER_COLUMN_MARKER">'Дифференциация тариф показатель'!$V$7</definedName>
    <definedName name="DIFFERENTIATION_TKO_ADD_HL_TO_COLUMN_MARKER">'Дифференциация тариф показатель'!$P$7</definedName>
    <definedName name="DIFFERENTIATION_TKO_ADD_HL_TYPE_TKO_COLUMN_MARKER">'Дифференциация тариф показатель'!$AB$7</definedName>
    <definedName name="DIFFERENTIATION_TKO_ADD_HL_VTAR_COLUMN_MARKER">'Дифференциация тариф показатель'!$F$7</definedName>
    <definedName name="DIFFERENTIATION_TKO_AREA_ID">'Дифференциация тариф показатель'!$AK$11:$AK$41</definedName>
    <definedName name="DIFFERENTIATION_TKO_DEL_HL_CLASS_TKO_COLUMN_MARKER">'Дифференциация тариф показатель'!$AF$7</definedName>
    <definedName name="DIFFERENTIATION_TKO_DEL_HL_NTAR_COLUMN_MARKER">'Дифференциация тариф показатель'!$H$7</definedName>
    <definedName name="DIFFERENTIATION_TKO_DEL_HL_TER_COLUMN_MARKER">'Дифференциация тариф показатель'!$T$7</definedName>
    <definedName name="DIFFERENTIATION_TKO_DEL_HL_TO_COLUMN_MARKER">'Дифференциация тариф показатель'!$N$7</definedName>
    <definedName name="DIFFERENTIATION_TKO_DEL_HL_TYPE_TKO_COLUMN_MARKER">'Дифференциация тариф показатель'!$Z$7</definedName>
    <definedName name="DIFFERENTIATION_TKO_FLAG_DIFF_CLASS_TKO_ETC_COLUMN_MARKER">'Дифференциация тариф показатель'!$AE$7</definedName>
    <definedName name="DIFFERENTIATION_TKO_FLAG_DIFF_CLASS_TKO_TARIFF_COLUMN_MARKER">'Дифференциация тариф показатель'!$AD$7</definedName>
    <definedName name="DIFFERENTIATION_TKO_FLAG_DIFF_TER_ETC_COLUMN_MARKER">'Дифференциация тариф показатель'!$S$7</definedName>
    <definedName name="DIFFERENTIATION_TKO_FLAG_DIFF_TER_TARIFF_COLUMN_MARKER">'Дифференциация тариф показатель'!$R$7</definedName>
    <definedName name="DIFFERENTIATION_TKO_FLAG_DIFF_TO_ETC_COLUMN_MARKER">'Дифференциация тариф показатель'!$M$7</definedName>
    <definedName name="DIFFERENTIATION_TKO_FLAG_DIFF_TO_TARIFF_COLUMN_MARKER">'Дифференциация тариф показатель'!$L$7</definedName>
    <definedName name="DIFFERENTIATION_TKO_FLAG_DIFF_TYPE_TKO_ETC_COLUMN_MARKER">'Дифференциация тариф показатель'!$Y$7</definedName>
    <definedName name="DIFFERENTIATION_TKO_FLAG_DIFF_TYPE_TKO_TARIFF_COLUMN_MARKER">'Дифференциация тариф показатель'!$X$7</definedName>
    <definedName name="DIFFERENTIATION_TKO_FLAG_VTAR_COLUMN_MARKER">'Дифференциация тариф показатель'!$G$7</definedName>
    <definedName name="DIFFERENTIATION_TKO_TER_ID">'Дифференциация тариф показатель'!$AL$11:$AL$41</definedName>
    <definedName name="DIFFERENTIATION_UNMERGE_AREA">Дифференциация!$Q$12:$Q$16</definedName>
    <definedName name="DIFFERENTIATION_UNMERGE_SYSTEM">Дифференциация!$R$12:$R$16</definedName>
    <definedName name="DIFFERENTIATION_UNMERGE_VD">Дифференциация!$P$12:$P$16</definedName>
    <definedName name="DIFFERENTIATION_VD">Дифференциация!$E$12:$E$16</definedName>
    <definedName name="DIFFERENTIATION_VD_ID">Дифференциация!$V$11:$V$17</definedName>
    <definedName name="ED_DATE">ЭД!$G$12:$G$13</definedName>
    <definedName name="ED_DATE_PARKING">ЭД!$I$5</definedName>
    <definedName name="ED_LINK">ЭД!$H$12:$H$13</definedName>
    <definedName name="EndDateList">TEHSHEET!$H$46:$H$53</definedName>
    <definedName name="et_B_FHD20_1">et_union_hor!$103:$111</definedName>
    <definedName name="et_B_FHD20_1_HEAT">et_union_hor!$115:$123</definedName>
    <definedName name="et_B_FHD20_1_NOT_HEAT">et_union_hor!$103:$111</definedName>
    <definedName name="et_B_FHD20_2">et_union_hor!$127:$130</definedName>
    <definedName name="et_B_FHD20_3">et_union_hor!$135:$136</definedName>
    <definedName name="et_B_FHD20_4">et_union_hor!$138:$138</definedName>
    <definedName name="et_CHANGE_INFO">et_union_hor!$4:$4</definedName>
    <definedName name="et_COLDVSNA_TARIFF_A_COLDVSNA_CS">'ХВС. Т-пит'!$4:$11</definedName>
    <definedName name="et_COLDVSNA_TARIFF_A_COLDVSNA_DATA_DIFF">'ХВС. Т-пит'!$7:$8</definedName>
    <definedName name="et_COLDVSNA_TARIFF_A_COLDVSNA_FLAG_DIFF">'ХВС. Т-пит'!$5:$10</definedName>
    <definedName name="et_COLDVSNA_TARIFF_A_COLDVSNA_GC">'ХВС. Т-пит'!$6:$9</definedName>
    <definedName name="et_COLDVSNA_TARIFF_A_COLDVSNA_NTAR">'ХВС. Т-пит'!$2:$13</definedName>
    <definedName name="et_COLDVSNA_TARIFF_A_COLDVSNA_PERIOD_COLOR">'ХВС. Т-пит'!$AC$7:$AI$8</definedName>
    <definedName name="et_COLDVSNA_TARIFF_A_COLDVSNA_PERIOD_NOT_COLOR">'ХВС. Т-пит'!$AC$15:$AI$16</definedName>
    <definedName name="et_COLDVSNA_TARIFF_A_COLDVSNA_TER">'ХВС. Т-пит'!$3:$12</definedName>
    <definedName name="et_COLDVSNA_TARIFF_A_COLDVSNA_TN">'ХВС. Т-пит'!$7:$8</definedName>
    <definedName name="et_COLDVSNA_TARIFF_B_COLDVSNA_CS">'ХВС. Т-тех'!$4:$11</definedName>
    <definedName name="et_COLDVSNA_TARIFF_B_COLDVSNA_DATA_DIFF">'ХВС. Т-тех'!$7:$8</definedName>
    <definedName name="et_COLDVSNA_TARIFF_B_COLDVSNA_FLAG_DIFF">'ХВС. Т-тех'!$5:$10</definedName>
    <definedName name="et_COLDVSNA_TARIFF_B_COLDVSNA_GC">'ХВС. Т-тех'!$6:$9</definedName>
    <definedName name="et_COLDVSNA_TARIFF_B_COLDVSNA_NTAR">'ХВС. Т-тех'!$2:$13</definedName>
    <definedName name="et_COLDVSNA_TARIFF_B_COLDVSNA_PERIOD_COLOR">'ХВС. Т-тех'!$AC$7:$AI$8</definedName>
    <definedName name="et_COLDVSNA_TARIFF_B_COLDVSNA_PERIOD_NOT_COLOR">'ХВС. Т-тех'!$AC$15:$AI$16</definedName>
    <definedName name="et_COLDVSNA_TARIFF_B_COLDVSNA_TER">'ХВС. Т-тех'!$3:$12</definedName>
    <definedName name="et_COLDVSNA_TARIFF_C_COLDVSNA_CS">'ХВС. Т-транс'!$4:$11</definedName>
    <definedName name="et_COLDVSNA_TARIFF_C_COLDVSNA_DATA_DIFF">'ХВС. Т-транс'!$7:$8</definedName>
    <definedName name="et_COLDVSNA_TARIFF_C_COLDVSNA_FLAG_DIFF">'ХВС. Т-транс'!$5:$10</definedName>
    <definedName name="et_COLDVSNA_TARIFF_C_COLDVSNA_GC">'ХВС. Т-транс'!$6:$9</definedName>
    <definedName name="et_COLDVSNA_TARIFF_C_COLDVSNA_NTAR">'ХВС. Т-транс'!$2:$13</definedName>
    <definedName name="et_COLDVSNA_TARIFF_C_COLDVSNA_PERIOD_COLOR">'ХВС. Т-транс'!$AC$7:$AI$8</definedName>
    <definedName name="et_COLDVSNA_TARIFF_C_COLDVSNA_PERIOD_NOT_COLOR">'ХВС. Т-транс'!$AC$15:$AI$16</definedName>
    <definedName name="et_COLDVSNA_TARIFF_C_COLDVSNA_TER">'ХВС. Т-транс'!$3:$12</definedName>
    <definedName name="et_COLDVSNA_TARIFF_D_COLDVSNA_CS">'ХВС. Т-подвоз'!$4:$11</definedName>
    <definedName name="et_COLDVSNA_TARIFF_D_COLDVSNA_DATA_DIFF">'ХВС. Т-подвоз'!$7:$8</definedName>
    <definedName name="et_COLDVSNA_TARIFF_D_COLDVSNA_FLAG_DIFF">'ХВС. Т-подвоз'!$5:$10</definedName>
    <definedName name="et_COLDVSNA_TARIFF_D_COLDVSNA_GC">'ХВС. Т-подвоз'!$6:$9</definedName>
    <definedName name="et_COLDVSNA_TARIFF_D_COLDVSNA_NTAR">'ХВС. Т-подвоз'!$2:$13</definedName>
    <definedName name="et_COLDVSNA_TARIFF_D_COLDVSNA_PERIOD_COLOR">'ХВС. Т-подвоз'!$AC$7:$AI$8</definedName>
    <definedName name="et_COLDVSNA_TARIFF_D_COLDVSNA_PERIOD_NOT_COLOR">'ХВС. Т-подвоз'!$AC$15:$AI$16</definedName>
    <definedName name="et_COLDVSNA_TARIFF_D_COLDVSNA_TER">'ХВС. Т-подвоз'!$3:$12</definedName>
    <definedName name="et_COLDVSNA_TARIFF_E_COLDVSNA_CS">'ХВС. Т-подкл'!$4:$16</definedName>
    <definedName name="et_COLDVSNA_TARIFF_E_COLDVSNA_DATA_DIFF">'ХВС. Т-подкл'!$8:$12</definedName>
    <definedName name="et_COLDVSNA_TARIFF_E_COLDVSNA_DIAMETERS">'ХВС. Т-подкл'!$8:$10</definedName>
    <definedName name="et_COLDVSNA_TARIFF_E_COLDVSNA_FLAG_DIFF">'ХВС. Т-подкл'!$6:$14</definedName>
    <definedName name="et_COLDVSNA_TARIFF_E_COLDVSNA_GC">'ХВС. Т-подкл'!$7:$13</definedName>
    <definedName name="et_COLDVSNA_TARIFF_E_COLDVSNA_LEN">'ХВС. Т-подкл'!$8:$9</definedName>
    <definedName name="et_COLDVSNA_TARIFF_E_COLDVSNA_LOAD">'ХВС. Т-подкл'!$8:$11</definedName>
    <definedName name="et_COLDVSNA_TARIFF_E_COLDVSNA_NETS">'ХВС. Т-подкл'!$8:$8</definedName>
    <definedName name="et_COLDVSNA_TARIFF_E_COLDVSNA_NTAR">'ХВС. Т-подкл'!$2:$18</definedName>
    <definedName name="et_COLDVSNA_TARIFF_E_COLDVSNA_PERIOD_COLOR">'ХВС. Т-подкл'!$AT$8:$BA$8</definedName>
    <definedName name="et_COLDVSNA_TARIFF_E_COLDVSNA_PERIOD_NOT_COLOR">'ХВС. Т-подкл'!$AT$20:$BA$20</definedName>
    <definedName name="et_COLDVSNA_TARIFF_E_COLDVSNA_TER">'ХВС. Т-подкл'!$3:$17</definedName>
    <definedName name="et_Comm">et_union_hor!$8:$8</definedName>
    <definedName name="et_DIFFERENTIATION_AREA">et_union_hor!$25:$26</definedName>
    <definedName name="et_DIFFERENTIATION_SYSTEM">et_union_hor!$30:$30</definedName>
    <definedName name="et_DIFFERENTIATION_TARIFF_COLOR">et_union_hor!$H$142:$W$146</definedName>
    <definedName name="et_DIFFERENTIATION_TARIFF_CS">et_union_hor!$157:$158</definedName>
    <definedName name="et_DIFFERENTIATION_TARIFF_IST_TE">et_union_hor!$160:$160</definedName>
    <definedName name="et_DIFFERENTIATION_TARIFF_NOT_COLOR">et_union_hor!$H$182:$W$186</definedName>
    <definedName name="et_DIFFERENTIATION_TARIFF_NOT_HEAT_COLOR">et_union_hor!$H$164:$W$168</definedName>
    <definedName name="et_DIFFERENTIATION_TARIFF_NOT_HEAT_CS">et_union_hor!$179:$180</definedName>
    <definedName name="et_DIFFERENTIATION_TARIFF_NOT_HEAT_NTAR">et_union_hor!$170:$173</definedName>
    <definedName name="et_DIFFERENTIATION_TARIFF_NOT_HEAT_TER">et_union_hor!$175:$177</definedName>
    <definedName name="et_DIFFERENTIATION_TARIFF_NOT_HEAT_VTAR">et_union_hor!$164:$168</definedName>
    <definedName name="et_DIFFERENTIATION_TARIFF_NTAR">et_union_hor!$148:$151</definedName>
    <definedName name="et_DIFFERENTIATION_TARIFF_TER">et_union_hor!$153:$155</definedName>
    <definedName name="et_DIFFERENTIATION_TARIFF_VTAR">et_union_hor!$142:$146</definedName>
    <definedName name="et_DIFFERENTIATION_TKO_CLASS_TKO">et_union_hor!$190:$190</definedName>
    <definedName name="et_DIFFERENTIATION_TKO_COLOR">et_union_hor!$H$190:$AI$195</definedName>
    <definedName name="et_DIFFERENTIATION_TKO_NOT_COLOR">et_union_hor!$H$197:$AI$202</definedName>
    <definedName name="et_DIFFERENTIATION_TKO_NTAR">et_union_hor!$190:$194</definedName>
    <definedName name="et_DIFFERENTIATION_TKO_TER">et_union_hor!$190:$192</definedName>
    <definedName name="et_DIFFERENTIATION_TKO_TO">et_union_hor!$190:$193</definedName>
    <definedName name="et_DIFFERENTIATION_TKO_TYPE_TKO">et_union_hor!$190:$191</definedName>
    <definedName name="et_DIFFERENTIATION_TKO_VTAR">et_union_hor!$190:$195</definedName>
    <definedName name="et_DIFFERENTIATION_VD">et_union_hor!$19:$21</definedName>
    <definedName name="et_ED">et_union_hor!$52:$52</definedName>
    <definedName name="et_HEAT_TARIFF_A_CS">'ТС. Т-ТЭ | &gt;=25МВт'!$4:$13</definedName>
    <definedName name="et_HEAT_TARIFF_A_GC">'ТС. Т-ТЭ | &gt;=25МВт'!$7:$10</definedName>
    <definedName name="et_HEAT_TARIFF_A_IST_TE">'ТС. Т-ТЭ | &gt;=25МВт'!$5:$12</definedName>
    <definedName name="et_HEAT_TARIFF_A_NTAR">'ТС. Т-ТЭ | &gt;=25МВт'!$2:$15</definedName>
    <definedName name="et_HEAT_TARIFF_A_PERIOD_COLOR">'ТС. Т-ТЭ | &gt;=25МВт'!$AD$8:$AK$9</definedName>
    <definedName name="et_HEAT_TARIFF_A_PERIOD_NOT_COLOR">'ТС. Т-ТЭ | &gt;=25МВт'!$AD$17:$AK$18</definedName>
    <definedName name="et_HEAT_TARIFF_A_SCHEME">'ТС. Т-ТЭ | &gt;=25МВт'!$6:$11</definedName>
    <definedName name="et_HEAT_TARIFF_A_TER">'ТС. Т-ТЭ | &gt;=25МВт'!$3:$14</definedName>
    <definedName name="et_HEAT_TARIFF_A_TN">'ТС. Т-ТЭ | &gt;=25МВт'!$8:$9</definedName>
    <definedName name="et_HEAT_TARIFF_B_CS">'ТС. Т-ТЭ | ТСО'!$4:$13</definedName>
    <definedName name="et_HEAT_TARIFF_B_GC">'ТС. Т-ТЭ | ТСО'!$7:$10</definedName>
    <definedName name="et_HEAT_TARIFF_B_IST_TE">'ТС. Т-ТЭ | ТСО'!$5:$12</definedName>
    <definedName name="et_HEAT_TARIFF_B_NTAR">'ТС. Т-ТЭ | ТСО'!$2:$15</definedName>
    <definedName name="et_HEAT_TARIFF_B_PERIOD_COLOR">'ТС. Т-ТЭ | ТСО'!$AD$8:$AK$9</definedName>
    <definedName name="et_HEAT_TARIFF_B_PERIOD_NOT_COLOR">'ТС. Т-ТЭ | ТСО'!$AD$17:$AK$18</definedName>
    <definedName name="et_HEAT_TARIFF_B_SCHEME">'ТС. Т-ТЭ | ТСО'!$6:$11</definedName>
    <definedName name="et_HEAT_TARIFF_B_TER">'ТС. Т-ТЭ | ТСО'!$3:$14</definedName>
    <definedName name="et_HEAT_TARIFF_B_TN">'ТС. Т-ТЭ | ТСО'!$8:$9</definedName>
    <definedName name="et_HEAT_TARIFF_C_CS">'ТС. Т-ТН'!$4:$13</definedName>
    <definedName name="et_HEAT_TARIFF_C_GC">'ТС. Т-ТН'!$7:$10</definedName>
    <definedName name="et_HEAT_TARIFF_C_IST_TE">'ТС. Т-ТН'!$5:$12</definedName>
    <definedName name="et_HEAT_TARIFF_C_NTAR">'ТС. Т-ТН'!$2:$15</definedName>
    <definedName name="et_HEAT_TARIFF_C_PERIOD_COLOR">'ТС. Т-ТН'!$AD$8:$AK$9</definedName>
    <definedName name="et_HEAT_TARIFF_C_PERIOD_NOT_COLOR">'ТС. Т-ТН'!$AD$17:$AK$18</definedName>
    <definedName name="et_HEAT_TARIFF_C_SCHEME">'ТС. Т-ТН'!$6:$11</definedName>
    <definedName name="et_HEAT_TARIFF_C_TER">'ТС. Т-ТН'!$3:$14</definedName>
    <definedName name="et_HEAT_TARIFF_C_TN">'ТС. Т-ТН'!$8:$9</definedName>
    <definedName name="et_HEAT_TARIFF_D_CONS">'ТС. Т-гор.вода'!$9:$10</definedName>
    <definedName name="et_HEAT_TARIFF_D_CS">'ТС. Т-гор.вода'!$4:$15</definedName>
    <definedName name="et_HEAT_TARIFF_D_GC">'ТС. Т-гор.вода'!$7:$12</definedName>
    <definedName name="et_HEAT_TARIFF_D_IST_TE">'ТС. Т-гор.вода'!$5:$14</definedName>
    <definedName name="et_HEAT_TARIFF_D_NTAR">'ТС. Т-гор.вода'!$2:$17</definedName>
    <definedName name="et_HEAT_TARIFF_D_PERIOD_COLOR">'ТС. Т-гор.вода'!$AG$8:$AO$10</definedName>
    <definedName name="et_HEAT_TARIFF_D_PERIOD_NOT_COLOR">'ТС. Т-гор.вода'!$AG$19:$AO$22</definedName>
    <definedName name="et_HEAT_TARIFF_D_SCHEME">'ТС. Т-гор.вода'!$6:$13</definedName>
    <definedName name="et_HEAT_TARIFF_D_TER">'ТС. Т-гор.вода'!$3:$16</definedName>
    <definedName name="et_HEAT_TARIFF_D_TN">'ТС. Т-гор.вода'!$8:$11</definedName>
    <definedName name="et_HEAT_TARIFF_E1_CS">'ТС. Т-передача ТЭ'!$4:$13</definedName>
    <definedName name="et_HEAT_TARIFF_E1_GC">'ТС. Т-передача ТЭ'!$7:$10</definedName>
    <definedName name="et_HEAT_TARIFF_E1_IST_TE">'ТС. Т-передача ТЭ'!$5:$12</definedName>
    <definedName name="et_HEAT_TARIFF_E1_NTAR">'ТС. Т-передача ТЭ'!$2:$15</definedName>
    <definedName name="et_HEAT_TARIFF_E1_PERIOD_COLOR">'ТС. Т-передача ТЭ'!$AD$8:$AK$9</definedName>
    <definedName name="et_HEAT_TARIFF_E1_PERIOD_NOT_COLOR">'ТС. Т-передача ТЭ'!$AD$17:$AK$18</definedName>
    <definedName name="et_HEAT_TARIFF_E1_SCHEME">'ТС. Т-передача ТЭ'!$6:$11</definedName>
    <definedName name="et_HEAT_TARIFF_E1_TER">'ТС. Т-передача ТЭ'!$3:$14</definedName>
    <definedName name="et_HEAT_TARIFF_E1_TN">'ТС. Т-передача ТЭ'!$8:$9</definedName>
    <definedName name="et_HEAT_TARIFF_E2_CS">'ТС. Т-передача ТН'!$4:$13</definedName>
    <definedName name="et_HEAT_TARIFF_E2_GC">'ТС. Т-передача ТН'!$7:$10</definedName>
    <definedName name="et_HEAT_TARIFF_E2_IST_TE">'ТС. Т-передача ТН'!$5:$12</definedName>
    <definedName name="et_HEAT_TARIFF_E2_NTAR">'ТС. Т-передача ТН'!$2:$15</definedName>
    <definedName name="et_HEAT_TARIFF_E2_PERIOD_COLOR">'ТС. Т-передача ТН'!$AD$8:$AK$9</definedName>
    <definedName name="et_HEAT_TARIFF_E2_PERIOD_NOT_COLOR">'ТС. Т-передача ТН'!$AD$17:$AK$18</definedName>
    <definedName name="et_HEAT_TARIFF_E2_SCHEME">'ТС. Т-передача ТН'!$6:$11</definedName>
    <definedName name="et_HEAT_TARIFF_E2_TER">'ТС. Т-передача ТН'!$3:$14</definedName>
    <definedName name="et_HEAT_TARIFF_E2_TN">'ТС. Т-передача ТН'!$8:$9</definedName>
    <definedName name="et_HEAT_TARIFF_F_CS">'ТС. Резерв мощности'!$4:$13</definedName>
    <definedName name="et_HEAT_TARIFF_F_GC">'ТС. Резерв мощности'!$7:$10</definedName>
    <definedName name="et_HEAT_TARIFF_F_IST_TE">'ТС. Резерв мощности'!$5:$12</definedName>
    <definedName name="et_HEAT_TARIFF_F_NTAR">'ТС. Резерв мощности'!$2:$15</definedName>
    <definedName name="et_HEAT_TARIFF_F_PERIOD_COLOR">'ТС. Резерв мощности'!$AD$8:$AK$9</definedName>
    <definedName name="et_HEAT_TARIFF_F_PERIOD_NOT_COLOR">'ТС. Резерв мощности'!$AD$17:$AK$18</definedName>
    <definedName name="et_HEAT_TARIFF_F_SCHEME">'ТС. Резерв мощности'!$6:$11</definedName>
    <definedName name="et_HEAT_TARIFF_F_TER">'ТС. Резерв мощности'!$3:$14</definedName>
    <definedName name="et_HEAT_TARIFF_F_TN">'ТС. Резерв мощности'!$8:$9</definedName>
    <definedName name="et_HEAT_TARIFF_G_CS">'ТС. Т-подкл'!$4:$15</definedName>
    <definedName name="et_HEAT_TARIFF_G_DIAMETERS">'ТС. Т-подкл'!$8:$8</definedName>
    <definedName name="et_HEAT_TARIFF_G_GC">'ТС. Т-подкл'!$7:$12</definedName>
    <definedName name="et_HEAT_TARIFF_G_IST_TE">'ТС. Т-подкл'!$5:$14</definedName>
    <definedName name="et_HEAT_TARIFF_G_LOAD">'ТС. Т-подкл'!$8:$10</definedName>
    <definedName name="et_HEAT_TARIFF_G_NETS">'ТС. Т-подкл'!$8:$9</definedName>
    <definedName name="et_HEAT_TARIFF_G_NTAR">'ТС. Т-подкл'!$2:$17</definedName>
    <definedName name="et_HEAT_TARIFF_G_PERIOD_COLOR">'ТС. Т-подкл'!$AN$8:$AS$8</definedName>
    <definedName name="et_HEAT_TARIFF_G_PERIOD_NOT_COLOR">'ТС. Т-подкл'!$AN$19:$AS$19</definedName>
    <definedName name="et_HEAT_TARIFF_G_SCHEME">'ТС. Т-подкл'!$6:$13</definedName>
    <definedName name="et_HEAT_TARIFF_G_TER">'ТС. Т-подкл'!$3:$16</definedName>
    <definedName name="et_HEAT_TARIFF_G_TN">'ТС. Т-подкл'!$8:$11</definedName>
    <definedName name="et_hor_B_FHD_1">'Показатели ФХД'!$2:$7</definedName>
    <definedName name="et_hor_B_FHD_2">'Показатели ФХД'!$9:$9</definedName>
    <definedName name="et_hor_B_FHD_3">'Показатели ФХД'!$11:$11</definedName>
    <definedName name="et_hor_B_FHD_4">'Показатели ФХД'!$13:$13</definedName>
    <definedName name="et_hor_B_FHD_5">'Показатели ФХД'!$15:$15</definedName>
    <definedName name="et_hor_B_FHD_6">'Показатели ФХД'!$17:$17</definedName>
    <definedName name="et_hor_B_FHD_TKO_2">'ТКО. Показатели ФХД'!$2:$2</definedName>
    <definedName name="et_hor_B_FHD_TKO_TRANS_2">'ТКО. Транс. Показатели ФХД'!$2:$2</definedName>
    <definedName name="et_hor_Q_LIMIT_1">Ограничения!$3:$4</definedName>
    <definedName name="et_hor_Q_LIMIT_2">Ограничения!$6:$7</definedName>
    <definedName name="et_hor_Q_LIMIT_3">Ограничения!$9:$11</definedName>
    <definedName name="et_hor_Q_LIMIT_4">Ограничения!$13:$14</definedName>
    <definedName name="et_hor_Q_TP_1">ТП!$2:$2</definedName>
    <definedName name="et_HOTVSNA_TARIFF_A_HOTVSNA_CS">'ГВС. Т-гор.вода'!$4:$11</definedName>
    <definedName name="et_HOTVSNA_TARIFF_A_HOTVSNA_DATA_DIFF">'ГВС. Т-гор.вода'!$7:$8</definedName>
    <definedName name="et_HOTVSNA_TARIFF_A_HOTVSNA_FLAG_DIFF">'ГВС. Т-гор.вода'!$5:$10</definedName>
    <definedName name="et_HOTVSNA_TARIFF_A_HOTVSNA_GC">'ГВС. Т-гор.вода'!$6:$9</definedName>
    <definedName name="et_HOTVSNA_TARIFF_A_HOTVSNA_NTAR">'ГВС. Т-гор.вода'!$2:$13</definedName>
    <definedName name="et_HOTVSNA_TARIFF_A_HOTVSNA_PERIOD_COLOR">'ГВС. Т-гор.вода'!$AC$7:$AI$8</definedName>
    <definedName name="et_HOTVSNA_TARIFF_A_HOTVSNA_PERIOD_NOT_COLOR">'ГВС. Т-гор.вода'!$AC$15:$AI$16</definedName>
    <definedName name="et_HOTVSNA_TARIFF_A_HOTVSNA_TER">'ГВС. Т-гор.вода'!$3:$12</definedName>
    <definedName name="et_HOTVSNA_TARIFF_A_HOTVSNA_TN">'ГВС. Т-гор.вода'!$7:$8</definedName>
    <definedName name="et_HOTVSNA_TARIFF_B_HOTVSNA_CS">'ГВС. Т-транс'!$4:$11</definedName>
    <definedName name="et_HOTVSNA_TARIFF_B_HOTVSNA_DATA_DIFF">'ГВС. Т-транс'!$7:$8</definedName>
    <definedName name="et_HOTVSNA_TARIFF_B_HOTVSNA_FLAG_DIFF">'ГВС. Т-транс'!$5:$10</definedName>
    <definedName name="et_HOTVSNA_TARIFF_B_HOTVSNA_GC">'ГВС. Т-транс'!$6:$9</definedName>
    <definedName name="et_HOTVSNA_TARIFF_B_HOTVSNA_NTAR">'ГВС. Т-транс'!$2:$13</definedName>
    <definedName name="et_HOTVSNA_TARIFF_B_HOTVSNA_PERIOD_COLOR">'ГВС. Т-транс'!$AC$7:$AI$8</definedName>
    <definedName name="et_HOTVSNA_TARIFF_B_HOTVSNA_PERIOD_NOT_COLOR">'ГВС. Т-транс'!$AC$15:$AI$16</definedName>
    <definedName name="et_HOTVSNA_TARIFF_B_HOTVSNA_TER">'ГВС. Т-транс'!$3:$12</definedName>
    <definedName name="et_HOTVSNA_TARIFF_B_HOTVSNA_TN">'ГВС. Т-транс'!$7:$8</definedName>
    <definedName name="et_HOTVSNA_TARIFF_C_HOTVSNA_CS">'ГВС. Т-подкл'!$4:$16</definedName>
    <definedName name="et_HOTVSNA_TARIFF_C_HOTVSNA_DATA_DIFF">'ГВС. Т-подкл'!$8:$12</definedName>
    <definedName name="et_HOTVSNA_TARIFF_C_HOTVSNA_DIAMETERS">'ГВС. Т-подкл'!$8:$10</definedName>
    <definedName name="et_HOTVSNA_TARIFF_C_HOTVSNA_FLAG_DIFF">'ГВС. Т-подкл'!$6:$14</definedName>
    <definedName name="et_HOTVSNA_TARIFF_C_HOTVSNA_GC">'ГВС. Т-подкл'!$7:$13</definedName>
    <definedName name="et_HOTVSNA_TARIFF_C_HOTVSNA_LEN">'ГВС. Т-подкл'!$8:$9</definedName>
    <definedName name="et_HOTVSNA_TARIFF_C_HOTVSNA_LOAD">'ГВС. Т-подкл'!$8:$11</definedName>
    <definedName name="et_HOTVSNA_TARIFF_C_HOTVSNA_NETS">'ГВС. Т-подкл'!$8:$8</definedName>
    <definedName name="et_HOTVSNA_TARIFF_C_HOTVSNA_NTAR">'ГВС. Т-подкл'!$2:$18</definedName>
    <definedName name="et_HOTVSNA_TARIFF_C_HOTVSNA_PERIOD_COLOR">'ГВС. Т-подкл'!$AT$8:$BA$8</definedName>
    <definedName name="et_HOTVSNA_TARIFF_C_HOTVSNA_PERIOD_NOT_COLOR">'ГВС. Т-подкл'!$AT$20:$BA$20</definedName>
    <definedName name="et_HOTVSNA_TARIFF_C_HOTVSNA_TER">'ГВС. Т-подкл'!$3:$17</definedName>
    <definedName name="et_IP_DETAILED">et_union_hor!$69:$75</definedName>
    <definedName name="et_IP_DETAILED_EVENT">et_union_hor!$89:$93</definedName>
    <definedName name="et_IP_DETAILED_IST_FIN">et_union_hor!$85:$85</definedName>
    <definedName name="et_IP_DETAILED_OBJECT">et_union_hor!$79:$81</definedName>
    <definedName name="et_IP_DETAILED_YEAR">et_union_hor!$70:$75</definedName>
    <definedName name="et_IP_MAIN">et_union_hor!$60:$61</definedName>
    <definedName name="et_IP_MAIN_PROPERTY">et_union_hor!$65:$65</definedName>
    <definedName name="et_IP_QRE">et_union_hor!$97:$99</definedName>
    <definedName name="et_IP_QRE_CLAIM">et_union_hor!$98:$98</definedName>
    <definedName name="et_List02">et_union_hor!$142:$146</definedName>
    <definedName name="et_List02_1_wd">et_union_hor!$182:$185</definedName>
    <definedName name="et_List02_2_wd">et_union_hor!$182:$184</definedName>
    <definedName name="et_List02_3_wd">et_union_hor!$182:$183</definedName>
    <definedName name="et_List02_4_wd">et_union_hor!$182:$182</definedName>
    <definedName name="et_List02_changeColor_1">et_union_hor!$J$142:$J$145</definedName>
    <definedName name="et_List02_changeColor_1_wd">et_union_hor!$J$182:$J$185</definedName>
    <definedName name="et_List02_changeColor_2">et_union_hor!$N$142:$N$144</definedName>
    <definedName name="et_List02_changeColor_2_wd">et_union_hor!$N$182:$N$184</definedName>
    <definedName name="et_List02_changeColor_3">et_union_hor!$R$142:$R$143</definedName>
    <definedName name="et_List02_changeColor_3_wd">et_union_hor!$R$182:$R$183</definedName>
    <definedName name="et_List02_changeColor_4">et_union_hor!$V$142</definedName>
    <definedName name="et_List02_changeColor_4_wd">et_union_hor!$V$182</definedName>
    <definedName name="et_List02_wd">et_union_hor!$182:$186</definedName>
    <definedName name="et_ORG_INFO_1">et_union_hor!$35:$35</definedName>
    <definedName name="et_ORG_INFO_2">et_union_hor!$39:$39</definedName>
    <definedName name="et_ORG_TERRITORY_MO">et_union_hor!$44:$44</definedName>
    <definedName name="et_ORG_TERRITORY_MO_FLAG_INTERNET">et_union_hor!$J$44</definedName>
    <definedName name="et_ORG_TERRITORY_MO_LINK">et_union_hor!$K$44</definedName>
    <definedName name="et_ORG_VD">et_union_hor!$48:$48</definedName>
    <definedName name="et_ORG_VD_COLDVSNA">et_union_hor!$X$48:$Z$48</definedName>
    <definedName name="et_ORG_VD_FIRST_SYSTEM">et_union_hor!$E$48</definedName>
    <definedName name="et_ORG_VD_HEAT">et_union_hor!$H$48:$R$48</definedName>
    <definedName name="et_ORG_VD_HOTVSNA">et_union_hor!$AB$48:$AC$48</definedName>
    <definedName name="et_ORG_VD_TKO_ACTIVITY">'Виды объектов'!$2:$3</definedName>
    <definedName name="et_ORG_VD_TKO_TYPE_OBJECT">'Виды объектов'!$2:$2</definedName>
    <definedName name="et_ORG_VD_VOTV">et_union_hor!$T$48:$V$48</definedName>
    <definedName name="et_P_PROCEDURE_TC_1">'Порядок ТП'!$2:$2</definedName>
    <definedName name="et_P_PROCEDURE_TC_2">'Порядок ТП'!$4:$4</definedName>
    <definedName name="et_P_PROCEDURE_TC_3">'Порядок ТП'!$6:$6</definedName>
    <definedName name="et_P_PROCEDURE_TC_4">'Порядок ТП'!$8:$8</definedName>
    <definedName name="et_P_PROCEDURE_TC_5">'Порядок ТП'!$10:$10</definedName>
    <definedName name="et_P_T_TERMS">et_union_hor!$56:$56</definedName>
    <definedName name="et_Q_TP_DIFFERENTIATION">ТП!$G:$G</definedName>
    <definedName name="et_QRE">et_union_hor!$97:$99</definedName>
    <definedName name="et_QRE_CLAIM">et_union_hor!$98:$98</definedName>
    <definedName name="et_R_B_Purch">'Сведения о закупках'!$2:$2</definedName>
    <definedName name="et_ROIV_CASE_case">'Дела об установлении тарифов'!$2:$2</definedName>
    <definedName name="et_ROIV_INFO_phone">'Орган регулирования'!$2:$2</definedName>
    <definedName name="et_ROIV_ORG_org">'Перечень организаций'!$2:$2</definedName>
    <definedName name="et_ROIV_OTV_DL">'Привлечение к ответственности'!$2:$2</definedName>
    <definedName name="et_ROIV_OTV_org">'Привлечение к ответственности'!$2:$3</definedName>
    <definedName name="et_TERMS">et_union_hor!$56:$56</definedName>
    <definedName name="et_TERRITORY_AREA">et_union_hor!$13:$15</definedName>
    <definedName name="et_TERRITORY_MO">et_union_hor!$14:$14</definedName>
    <definedName name="et_ver_B_FHD_DIFFERENTIATION">'Показатели ФХД'!$H:$H</definedName>
    <definedName name="et_ver_B_FHD_TKO_DIFFERENTIATION">'ТКО. Показатели ФХД'!$H:$H</definedName>
    <definedName name="et_ver_B_FHD_TKO_TRANS_DIFFERENTIATION">'ТКО. Транс. Показатели ФХД'!$H:$H</definedName>
    <definedName name="et_ver_B_KNE_DIFFERENTIATION">'Показатели КНЭ'!$G:$H</definedName>
    <definedName name="et_ver_COLDVSNA_TARIFF_A_COLDVSNA">'ХВС. Т-пит'!$V:$AB</definedName>
    <definedName name="et_ver_COLDVSNA_TARIFF_B_COLDVSNA">'ХВС. Т-тех'!$V:$AB</definedName>
    <definedName name="et_ver_COLDVSNA_TARIFF_C_COLDVSNA">'ХВС. Т-транс'!$V:$AB</definedName>
    <definedName name="et_ver_COLDVSNA_TARIFF_D_COLDVSNA">'ХВС. Т-подвоз'!$V:$AB</definedName>
    <definedName name="et_ver_COLDVSNA_TARIFF_E_COLDVSNA">'ХВС. Т-подкл'!$V:$AC</definedName>
    <definedName name="et_ver_HEAT_TARIFF_A">'ТС. Т-ТЭ | &gt;=25МВт'!$V:$AC</definedName>
    <definedName name="et_ver_HEAT_TARIFF_B">'ТС. Т-ТЭ | ТСО'!$V:$AC</definedName>
    <definedName name="et_ver_HEAT_TARIFF_C">'ТС. Т-ТН'!$V:$AC</definedName>
    <definedName name="et_ver_HEAT_TARIFF_D">'ТС. Т-гор.вода'!$X:$AF</definedName>
    <definedName name="et_ver_HEAT_TARIFF_E1">'ТС. Т-передача ТЭ'!$V:$AC</definedName>
    <definedName name="et_ver_HEAT_TARIFF_E2">'ТС. Т-передача ТН'!$V:$AC</definedName>
    <definedName name="et_ver_HEAT_TARIFF_F">'ТС. Резерв мощности'!$V:$AC</definedName>
    <definedName name="et_ver_HEAT_TARIFF_G">'ТС. Т-подкл'!$V:$AA</definedName>
    <definedName name="et_ver_HOTVSNA_TARIFF_A_HOTVSNA">'ГВС. Т-гор.вода'!$V:$AB</definedName>
    <definedName name="et_ver_HOTVSNA_TARIFF_B_HOTVSNA">'ГВС. Т-транс'!$V:$AB</definedName>
    <definedName name="et_ver_HOTVSNA_TARIFF_C_HOTVSNA">'ГВС. Т-подкл'!$V:$AC</definedName>
    <definedName name="et_ver_IP_FIN_PLAN">'ИП. Финансовый план'!$H:$J</definedName>
    <definedName name="et_ver_IP_FIN_PLAN_YEAR">'ИП. Финансовый план'!$I:$I</definedName>
    <definedName name="et_ver_Q_LIMIT_DIFFERENTIATION">Ограничения!$G:$H</definedName>
    <definedName name="et_ver_Q_PH_DIFFERENTIATION">'Потребительские характеристики'!$G:$H</definedName>
    <definedName name="et_ver_Q_TP_DIFFERENTIATION">ТП!$G:$G</definedName>
    <definedName name="et_ver_VOTV_TARIFF_A_VOTV">'ВО. Т-во'!$V:$AB</definedName>
    <definedName name="et_ver_VOTV_TARIFF_B_VOTV">'ВО. Т-транс'!$V:$AB</definedName>
    <definedName name="et_ver_VOTV_TARIFF_C_VOTV">'ВО. Т-подкл'!$V:$AC</definedName>
    <definedName name="et_VOTV_TARIFF_A_VOTV_CS">'ВО. Т-во'!$4:$11</definedName>
    <definedName name="et_VOTV_TARIFF_A_VOTV_DATA_DIFF">'ВО. Т-во'!$7:$8</definedName>
    <definedName name="et_VOTV_TARIFF_A_VOTV_FLAG_DIFF">'ВО. Т-во'!$5:$10</definedName>
    <definedName name="et_VOTV_TARIFF_A_VOTV_GC">'ВО. Т-во'!$6:$9</definedName>
    <definedName name="et_VOTV_TARIFF_A_VOTV_NTAR">'ВО. Т-во'!$2:$13</definedName>
    <definedName name="et_VOTV_TARIFF_A_VOTV_PERIOD_COLOR">'ВО. Т-во'!$AC$7:$AI$8</definedName>
    <definedName name="et_VOTV_TARIFF_A_VOTV_PERIOD_NOT_COLOR">'ВО. Т-во'!$AC$15:$AI$16</definedName>
    <definedName name="et_VOTV_TARIFF_A_VOTV_TER">'ВО. Т-во'!$3:$12</definedName>
    <definedName name="et_VOTV_TARIFF_A_VOTV_TN">'ВО. Т-во'!$7:$8</definedName>
    <definedName name="et_VOTV_TARIFF_B_VOTV_CS">'ВО. Т-транс'!$4:$11</definedName>
    <definedName name="et_VOTV_TARIFF_B_VOTV_DATA_DIFF">'ВО. Т-транс'!$7:$8</definedName>
    <definedName name="et_VOTV_TARIFF_B_VOTV_FLAG_DIFF">'ВО. Т-транс'!$5:$10</definedName>
    <definedName name="et_VOTV_TARIFF_B_VOTV_GC">'ВО. Т-транс'!$6:$9</definedName>
    <definedName name="et_VOTV_TARIFF_B_VOTV_NTAR">'ВО. Т-транс'!$2:$13</definedName>
    <definedName name="et_VOTV_TARIFF_B_VOTV_PERIOD_COLOR">'ВО. Т-транс'!$AC$7:$AI$8</definedName>
    <definedName name="et_VOTV_TARIFF_B_VOTV_PERIOD_NOT_COLOR">'ВО. Т-транс'!$AC$15:$AI$16</definedName>
    <definedName name="et_VOTV_TARIFF_B_VOTV_TER">'ВО. Т-транс'!$3:$12</definedName>
    <definedName name="et_VOTV_TARIFF_B_VOTV_TN">'ВО. Т-транс'!$7:$8</definedName>
    <definedName name="et_VOTV_TARIFF_C_VOTV_CS">'ВО. Т-подкл'!$4:$16</definedName>
    <definedName name="et_VOTV_TARIFF_C_VOTV_DATA_DIFF">'ВО. Т-подкл'!$8:$12</definedName>
    <definedName name="et_VOTV_TARIFF_C_VOTV_DIAMETERS">'ВО. Т-подкл'!$8:$10</definedName>
    <definedName name="et_VOTV_TARIFF_C_VOTV_FLAG_DIFF">'ВО. Т-подкл'!$6:$14</definedName>
    <definedName name="et_VOTV_TARIFF_C_VOTV_GC">'ВО. Т-подкл'!$7:$13</definedName>
    <definedName name="et_VOTV_TARIFF_C_VOTV_LEN">'ВО. Т-подкл'!$8:$9</definedName>
    <definedName name="et_VOTV_TARIFF_C_VOTV_LOAD">'ВО. Т-подкл'!$8:$11</definedName>
    <definedName name="et_VOTV_TARIFF_C_VOTV_NETS">'ВО. Т-подкл'!$8:$8</definedName>
    <definedName name="et_VOTV_TARIFF_C_VOTV_NTAR">'ВО. Т-подкл'!$2:$18</definedName>
    <definedName name="et_VOTV_TARIFF_C_VOTV_PERIOD_COLOR">'ВО. Т-подкл'!$AT$8:$BA$8</definedName>
    <definedName name="et_VOTV_TARIFF_C_VOTV_PERIOD_NOT_COLOR">'ВО. Т-подкл'!$AT$20:$BA$20</definedName>
    <definedName name="et_VOTV_TARIFF_C_VOTV_TER">'ВО. Т-подкл'!$3:$17</definedName>
    <definedName name="f_quart">Титульный!$F$13</definedName>
    <definedName name="f_year">Титульный!$F$12</definedName>
    <definedName name="FHD_NAME_FORM">DATA_FORMS!$C$6</definedName>
    <definedName name="FHD_NOTE_P_1">DATA_NPA!$N$18</definedName>
    <definedName name="FHD_NOTE_P_10">DATA_NPA!$N$27</definedName>
    <definedName name="FHD_NOTE_P_11">DATA_NPA!$N$28</definedName>
    <definedName name="FHD_NOTE_P_12">DATA_NPA!$N$29</definedName>
    <definedName name="FHD_NOTE_P_13">DATA_NPA!$N$30</definedName>
    <definedName name="FHD_NOTE_P_14">DATA_NPA!$N$31</definedName>
    <definedName name="FHD_NOTE_P_15">DATA_NPA!$N$32</definedName>
    <definedName name="FHD_NOTE_P_16">DATA_NPA!$N$33</definedName>
    <definedName name="FHD_NOTE_P_17">DATA_NPA!$N$34</definedName>
    <definedName name="FHD_NOTE_P_18">DATA_NPA!$N$35</definedName>
    <definedName name="FHD_NOTE_P_19">DATA_NPA!$N$36</definedName>
    <definedName name="FHD_NOTE_P_2">DATA_NPA!$N$19</definedName>
    <definedName name="FHD_NOTE_P_20">DATA_NPA!$N$37</definedName>
    <definedName name="FHD_NOTE_P_21">DATA_NPA!$N$38</definedName>
    <definedName name="FHD_NOTE_P_22">DATA_NPA!$N$39</definedName>
    <definedName name="FHD_NOTE_P_23">DATA_NPA!$N$40</definedName>
    <definedName name="FHD_NOTE_P_24">DATA_NPA!$N$41</definedName>
    <definedName name="FHD_NOTE_P_25">DATA_NPA!$N$42</definedName>
    <definedName name="FHD_NOTE_P_26">DATA_NPA!$N$43</definedName>
    <definedName name="FHD_NOTE_P_27">DATA_NPA!$N$44</definedName>
    <definedName name="FHD_NOTE_P_28">DATA_NPA!$N$45</definedName>
    <definedName name="FHD_NOTE_P_29">DATA_NPA!$N$46</definedName>
    <definedName name="FHD_NOTE_P_3">DATA_NPA!$N$20</definedName>
    <definedName name="FHD_NOTE_P_30">DATA_NPA!$N$47</definedName>
    <definedName name="FHD_NOTE_P_31">DATA_NPA!$N$48</definedName>
    <definedName name="FHD_NOTE_P_32">DATA_NPA!$N$49</definedName>
    <definedName name="FHD_NOTE_P_33">DATA_NPA!$N$50</definedName>
    <definedName name="FHD_NOTE_P_34">DATA_NPA!$N$51</definedName>
    <definedName name="FHD_NOTE_P_35">DATA_NPA!$N$52</definedName>
    <definedName name="FHD_NOTE_P_36">DATA_NPA!$N$53</definedName>
    <definedName name="FHD_NOTE_P_37">DATA_NPA!$N$54</definedName>
    <definedName name="FHD_NOTE_P_38">DATA_NPA!$N$55</definedName>
    <definedName name="FHD_NOTE_P_39">DATA_NPA!$N$56</definedName>
    <definedName name="FHD_NOTE_P_4">DATA_NPA!$N$21</definedName>
    <definedName name="FHD_NOTE_P_40">DATA_NPA!$N$57</definedName>
    <definedName name="FHD_NOTE_P_41">DATA_NPA!$N$58</definedName>
    <definedName name="FHD_NOTE_P_42">DATA_NPA!$N$59</definedName>
    <definedName name="FHD_NOTE_P_43">DATA_NPA!$N$60</definedName>
    <definedName name="FHD_NOTE_P_44">DATA_NPA!$N$61</definedName>
    <definedName name="FHD_NOTE_P_45">DATA_NPA!$N$62</definedName>
    <definedName name="FHD_NOTE_P_46">DATA_NPA!$N$63</definedName>
    <definedName name="FHD_NOTE_P_47">DATA_NPA!$N$64</definedName>
    <definedName name="FHD_NOTE_P_48">DATA_NPA!$N$65</definedName>
    <definedName name="FHD_NOTE_P_49">DATA_NPA!$N$66</definedName>
    <definedName name="FHD_NOTE_P_5">DATA_NPA!$N$22</definedName>
    <definedName name="FHD_NOTE_P_50">DATA_NPA!$N$67</definedName>
    <definedName name="FHD_NOTE_P_51">DATA_NPA!$N$68</definedName>
    <definedName name="FHD_NOTE_P_52">DATA_NPA!$N$69</definedName>
    <definedName name="FHD_NOTE_P_53">DATA_NPA!$N$70</definedName>
    <definedName name="FHD_NOTE_P_54">DATA_NPA!$N$71</definedName>
    <definedName name="FHD_NOTE_P_55">DATA_NPA!$N$72</definedName>
    <definedName name="FHD_NOTE_P_56">DATA_NPA!$N$73</definedName>
    <definedName name="FHD_NOTE_P_57">DATA_NPA!$N$74</definedName>
    <definedName name="FHD_NOTE_P_58">DATA_NPA!$N$75</definedName>
    <definedName name="FHD_NOTE_P_59">DATA_NPA!$N$76</definedName>
    <definedName name="FHD_NOTE_P_6">DATA_NPA!$N$23</definedName>
    <definedName name="FHD_NOTE_P_60">DATA_NPA!$N$77</definedName>
    <definedName name="FHD_NOTE_P_61">DATA_NPA!$N$78</definedName>
    <definedName name="FHD_NOTE_P_62">DATA_NPA!$N$79</definedName>
    <definedName name="FHD_NOTE_P_63">DATA_NPA!$N$80</definedName>
    <definedName name="FHD_NOTE_P_64">DATA_NPA!$N$81</definedName>
    <definedName name="FHD_NOTE_P_65">DATA_NPA!$N$82</definedName>
    <definedName name="FHD_NOTE_P_66">DATA_NPA!$N$83</definedName>
    <definedName name="FHD_NOTE_P_67">DATA_NPA!$N$84</definedName>
    <definedName name="FHD_NOTE_P_68">DATA_NPA!$N$85</definedName>
    <definedName name="FHD_NOTE_P_69">DATA_NPA!$N$86</definedName>
    <definedName name="FHD_NOTE_P_7">DATA_NPA!$N$24</definedName>
    <definedName name="FHD_NOTE_P_70">DATA_NPA!$N$87</definedName>
    <definedName name="FHD_NOTE_P_71">DATA_NPA!$N$88</definedName>
    <definedName name="FHD_NOTE_P_72">DATA_NPA!$N$89</definedName>
    <definedName name="FHD_NOTE_P_73">DATA_NPA!$N$90</definedName>
    <definedName name="FHD_NOTE_P_74">DATA_NPA!$N$91</definedName>
    <definedName name="FHD_NOTE_P_75">DATA_NPA!$N$92</definedName>
    <definedName name="FHD_NOTE_P_76">DATA_NPA!$N$93</definedName>
    <definedName name="FHD_NOTE_P_77">DATA_NPA!$N$94</definedName>
    <definedName name="FHD_NOTE_P_78">DATA_NPA!$N$95</definedName>
    <definedName name="FHD_NOTE_P_79">DATA_NPA!$N$96</definedName>
    <definedName name="FHD_NOTE_P_8">DATA_NPA!$N$25</definedName>
    <definedName name="FHD_NOTE_P_80">DATA_NPA!$N$97</definedName>
    <definedName name="FHD_NOTE_P_81">DATA_NPA!$N$98</definedName>
    <definedName name="FHD_NOTE_P_82">DATA_NPA!$N$99</definedName>
    <definedName name="FHD_NOTE_P_83">DATA_NPA!$N$100</definedName>
    <definedName name="FHD_NOTE_P_84">DATA_NPA!$N$101</definedName>
    <definedName name="FHD_NOTE_P_9">DATA_NPA!$N$26</definedName>
    <definedName name="FHD_NUM_P_1">DATA_NPA!$L$18</definedName>
    <definedName name="FHD_NUM_P_10">DATA_NPA!$L$27</definedName>
    <definedName name="FHD_NUM_P_11">DATA_NPA!$L$28</definedName>
    <definedName name="FHD_NUM_P_12">DATA_NPA!$L$29</definedName>
    <definedName name="FHD_NUM_P_13">DATA_NPA!$L$30</definedName>
    <definedName name="FHD_NUM_P_14">DATA_NPA!$L$31</definedName>
    <definedName name="FHD_NUM_P_15">DATA_NPA!$L$32</definedName>
    <definedName name="FHD_NUM_P_16">DATA_NPA!$L$33</definedName>
    <definedName name="FHD_NUM_P_17">DATA_NPA!$L$34</definedName>
    <definedName name="FHD_NUM_P_18">DATA_NPA!$L$35</definedName>
    <definedName name="FHD_NUM_P_19">DATA_NPA!$L$36</definedName>
    <definedName name="FHD_NUM_P_2">DATA_NPA!$L$19</definedName>
    <definedName name="FHD_NUM_P_20">DATA_NPA!$L$37</definedName>
    <definedName name="FHD_NUM_P_21">DATA_NPA!$L$38</definedName>
    <definedName name="FHD_NUM_P_22">DATA_NPA!$L$39</definedName>
    <definedName name="FHD_NUM_P_23">DATA_NPA!$L$40</definedName>
    <definedName name="FHD_NUM_P_24">DATA_NPA!$L$41</definedName>
    <definedName name="FHD_NUM_P_25">DATA_NPA!$L$42</definedName>
    <definedName name="FHD_NUM_P_26">DATA_NPA!$L$43</definedName>
    <definedName name="FHD_NUM_P_27">DATA_NPA!$L$44</definedName>
    <definedName name="FHD_NUM_P_28">DATA_NPA!$L$45</definedName>
    <definedName name="FHD_NUM_P_29">DATA_NPA!$L$46</definedName>
    <definedName name="FHD_NUM_P_3">DATA_NPA!$L$20</definedName>
    <definedName name="FHD_NUM_P_30">DATA_NPA!$L$47</definedName>
    <definedName name="FHD_NUM_P_31">DATA_NPA!$L$48</definedName>
    <definedName name="FHD_NUM_P_32">DATA_NPA!$L$49</definedName>
    <definedName name="FHD_NUM_P_33">DATA_NPA!$L$50</definedName>
    <definedName name="FHD_NUM_P_34">DATA_NPA!$L$51</definedName>
    <definedName name="FHD_NUM_P_35">DATA_NPA!$L$52</definedName>
    <definedName name="FHD_NUM_P_36">DATA_NPA!$L$53</definedName>
    <definedName name="FHD_NUM_P_37">DATA_NPA!$L$54</definedName>
    <definedName name="FHD_NUM_P_38">DATA_NPA!$L$55</definedName>
    <definedName name="FHD_NUM_P_39">DATA_NPA!$L$56</definedName>
    <definedName name="FHD_NUM_P_4">DATA_NPA!$L$21</definedName>
    <definedName name="FHD_NUM_P_40">DATA_NPA!$L$57</definedName>
    <definedName name="FHD_NUM_P_41">DATA_NPA!$L$58</definedName>
    <definedName name="FHD_NUM_P_42">DATA_NPA!$L$59</definedName>
    <definedName name="FHD_NUM_P_43">DATA_NPA!$L$60</definedName>
    <definedName name="FHD_NUM_P_44">DATA_NPA!$L$61</definedName>
    <definedName name="FHD_NUM_P_45">DATA_NPA!$L$62</definedName>
    <definedName name="FHD_NUM_P_46">DATA_NPA!$L$63</definedName>
    <definedName name="FHD_NUM_P_47">DATA_NPA!$L$64</definedName>
    <definedName name="FHD_NUM_P_48">DATA_NPA!$L$65</definedName>
    <definedName name="FHD_NUM_P_49">DATA_NPA!$L$66</definedName>
    <definedName name="FHD_NUM_P_5">DATA_NPA!$L$22</definedName>
    <definedName name="FHD_NUM_P_50">DATA_NPA!$L$67</definedName>
    <definedName name="FHD_NUM_P_51">DATA_NPA!$L$68</definedName>
    <definedName name="FHD_NUM_P_52">DATA_NPA!$L$69</definedName>
    <definedName name="FHD_NUM_P_53">DATA_NPA!$L$70</definedName>
    <definedName name="FHD_NUM_P_54">DATA_NPA!$L$71</definedName>
    <definedName name="FHD_NUM_P_55">DATA_NPA!$L$72</definedName>
    <definedName name="FHD_NUM_P_56">DATA_NPA!$L$73</definedName>
    <definedName name="FHD_NUM_P_57">DATA_NPA!$L$74</definedName>
    <definedName name="FHD_NUM_P_58">DATA_NPA!$L$75</definedName>
    <definedName name="FHD_NUM_P_59">DATA_NPA!$L$76</definedName>
    <definedName name="FHD_NUM_P_6">DATA_NPA!$L$23</definedName>
    <definedName name="FHD_NUM_P_60">DATA_NPA!$L$77</definedName>
    <definedName name="FHD_NUM_P_61">DATA_NPA!$L$78</definedName>
    <definedName name="FHD_NUM_P_62">DATA_NPA!$L$79</definedName>
    <definedName name="FHD_NUM_P_63">DATA_NPA!$L$80</definedName>
    <definedName name="FHD_NUM_P_64">DATA_NPA!$L$81</definedName>
    <definedName name="FHD_NUM_P_65">DATA_NPA!$L$82</definedName>
    <definedName name="FHD_NUM_P_66">DATA_NPA!$L$83</definedName>
    <definedName name="FHD_NUM_P_67">DATA_NPA!$L$84</definedName>
    <definedName name="FHD_NUM_P_68">DATA_NPA!$L$85</definedName>
    <definedName name="FHD_NUM_P_69">DATA_NPA!$L$86</definedName>
    <definedName name="FHD_NUM_P_7">DATA_NPA!$L$24</definedName>
    <definedName name="FHD_NUM_P_70">DATA_NPA!$L$87</definedName>
    <definedName name="FHD_NUM_P_71">DATA_NPA!$L$88</definedName>
    <definedName name="FHD_NUM_P_72">DATA_NPA!$L$89</definedName>
    <definedName name="FHD_NUM_P_73">DATA_NPA!$L$90</definedName>
    <definedName name="FHD_NUM_P_74">DATA_NPA!$L$91</definedName>
    <definedName name="FHD_NUM_P_75">DATA_NPA!$L$92</definedName>
    <definedName name="FHD_NUM_P_76">DATA_NPA!$L$93</definedName>
    <definedName name="FHD_NUM_P_77">DATA_NPA!$L$94</definedName>
    <definedName name="FHD_NUM_P_78">DATA_NPA!$L$95</definedName>
    <definedName name="FHD_NUM_P_79">DATA_NPA!$L$96</definedName>
    <definedName name="FHD_NUM_P_8">DATA_NPA!$L$25</definedName>
    <definedName name="FHD_NUM_P_80">DATA_NPA!$L$97</definedName>
    <definedName name="FHD_NUM_P_81">DATA_NPA!$L$98</definedName>
    <definedName name="FHD_NUM_P_82">DATA_NPA!$L$99</definedName>
    <definedName name="FHD_NUM_P_83">DATA_NPA!$L$100</definedName>
    <definedName name="FHD_NUM_P_84">DATA_NPA!$L$101</definedName>
    <definedName name="FHD_NUM_P_9">DATA_NPA!$L$26</definedName>
    <definedName name="FHD_NUM_P_A">DATA_NPA!$L$18</definedName>
    <definedName name="FHD_P_1">DATA_NPA!$M$18</definedName>
    <definedName name="FHD_P_10">DATA_NPA!$M$27</definedName>
    <definedName name="FHD_P_11">DATA_NPA!$M$28</definedName>
    <definedName name="FHD_P_12">DATA_NPA!$M$29</definedName>
    <definedName name="FHD_P_13">DATA_NPA!$M$30</definedName>
    <definedName name="FHD_P_14">DATA_NPA!$M$31</definedName>
    <definedName name="FHD_P_15">DATA_NPA!$M$32</definedName>
    <definedName name="FHD_P_16">DATA_NPA!$M$33</definedName>
    <definedName name="FHD_P_17">DATA_NPA!$M$34</definedName>
    <definedName name="FHD_P_18">DATA_NPA!$M$35</definedName>
    <definedName name="FHD_P_19">DATA_NPA!$M$36</definedName>
    <definedName name="FHD_P_2">DATA_NPA!$M$19</definedName>
    <definedName name="FHD_P_20">DATA_NPA!$M$37</definedName>
    <definedName name="FHD_P_21">DATA_NPA!$M$38</definedName>
    <definedName name="FHD_P_22">DATA_NPA!$M$39</definedName>
    <definedName name="FHD_P_23">DATA_NPA!$M$40</definedName>
    <definedName name="FHD_P_24">DATA_NPA!$M$41</definedName>
    <definedName name="FHD_P_25">DATA_NPA!$M$42</definedName>
    <definedName name="FHD_P_26">DATA_NPA!$M$43</definedName>
    <definedName name="FHD_P_27">DATA_NPA!$M$44</definedName>
    <definedName name="FHD_P_28">DATA_NPA!$M$45</definedName>
    <definedName name="FHD_P_29">DATA_NPA!$M$46</definedName>
    <definedName name="FHD_P_3">DATA_NPA!$M$20</definedName>
    <definedName name="FHD_P_30">DATA_NPA!$M$47</definedName>
    <definedName name="FHD_P_31">DATA_NPA!$M$48</definedName>
    <definedName name="FHD_P_32">DATA_NPA!$M$49</definedName>
    <definedName name="FHD_P_33">DATA_NPA!$M$50</definedName>
    <definedName name="FHD_P_34">DATA_NPA!$M$51</definedName>
    <definedName name="FHD_P_35">DATA_NPA!$M$52</definedName>
    <definedName name="FHD_P_36">DATA_NPA!$M$53</definedName>
    <definedName name="FHD_P_37">DATA_NPA!$M$54</definedName>
    <definedName name="FHD_P_38">DATA_NPA!$M$55</definedName>
    <definedName name="FHD_P_39">DATA_NPA!$M$56</definedName>
    <definedName name="FHD_P_4">DATA_NPA!$M$21</definedName>
    <definedName name="FHD_P_40">DATA_NPA!$M$57</definedName>
    <definedName name="FHD_P_41">DATA_NPA!$M$58</definedName>
    <definedName name="FHD_P_42">DATA_NPA!$M$59</definedName>
    <definedName name="FHD_P_43">DATA_NPA!$M$60</definedName>
    <definedName name="FHD_P_44">DATA_NPA!$M$61</definedName>
    <definedName name="FHD_P_45">DATA_NPA!$M$62</definedName>
    <definedName name="FHD_P_46">DATA_NPA!$M$63</definedName>
    <definedName name="FHD_P_47">DATA_NPA!$M$64</definedName>
    <definedName name="FHD_P_48">DATA_NPA!$M$65</definedName>
    <definedName name="FHD_P_49">DATA_NPA!$M$66</definedName>
    <definedName name="FHD_P_5">DATA_NPA!$M$22</definedName>
    <definedName name="FHD_P_50">DATA_NPA!$M$67</definedName>
    <definedName name="FHD_P_51">DATA_NPA!$M$68</definedName>
    <definedName name="FHD_P_52">DATA_NPA!$M$69</definedName>
    <definedName name="FHD_P_53">DATA_NPA!$M$70</definedName>
    <definedName name="FHD_P_54">DATA_NPA!$M$71</definedName>
    <definedName name="FHD_P_55">DATA_NPA!$M$72</definedName>
    <definedName name="FHD_P_56">DATA_NPA!$M$73</definedName>
    <definedName name="FHD_P_57">DATA_NPA!$M$74</definedName>
    <definedName name="FHD_P_58">DATA_NPA!$M$75</definedName>
    <definedName name="FHD_P_59">DATA_NPA!$M$76</definedName>
    <definedName name="FHD_P_6">DATA_NPA!$M$23</definedName>
    <definedName name="FHD_P_60">DATA_NPA!$M$77</definedName>
    <definedName name="FHD_P_61">DATA_NPA!$M$78</definedName>
    <definedName name="FHD_P_62">DATA_NPA!$M$79</definedName>
    <definedName name="FHD_P_63">DATA_NPA!$M$80</definedName>
    <definedName name="FHD_P_64">DATA_NPA!$M$81</definedName>
    <definedName name="FHD_P_65">DATA_NPA!$M$82</definedName>
    <definedName name="FHD_P_66">DATA_NPA!$M$83</definedName>
    <definedName name="FHD_P_67">DATA_NPA!$M$84</definedName>
    <definedName name="FHD_P_68">DATA_NPA!$M$85</definedName>
    <definedName name="FHD_P_69">DATA_NPA!$M$86</definedName>
    <definedName name="FHD_P_7">DATA_NPA!$M$24</definedName>
    <definedName name="FHD_P_70">DATA_NPA!$M$87</definedName>
    <definedName name="FHD_P_71">DATA_NPA!$M$88</definedName>
    <definedName name="FHD_P_72">DATA_NPA!$M$89</definedName>
    <definedName name="FHD_P_73">DATA_NPA!$M$90</definedName>
    <definedName name="FHD_P_74">DATA_NPA!$M$91</definedName>
    <definedName name="FHD_P_75">DATA_NPA!$M$92</definedName>
    <definedName name="FHD_P_76">DATA_NPA!$M$93</definedName>
    <definedName name="FHD_P_77">DATA_NPA!$M$94</definedName>
    <definedName name="FHD_P_78">DATA_NPA!$M$95</definedName>
    <definedName name="FHD_P_79">DATA_NPA!$M$96</definedName>
    <definedName name="FHD_P_8">DATA_NPA!$M$25</definedName>
    <definedName name="FHD_P_80">DATA_NPA!$M$97</definedName>
    <definedName name="FHD_P_81">DATA_NPA!$M$98</definedName>
    <definedName name="FHD_P_82">DATA_NPA!$M$99</definedName>
    <definedName name="FHD_P_83">DATA_NPA!$M$100</definedName>
    <definedName name="FHD_P_84">DATA_NPA!$M$101</definedName>
    <definedName name="FHD_P_9">DATA_NPA!$M$26</definedName>
    <definedName name="FHD_P_A">DATA_NPA!$M$18</definedName>
    <definedName name="FHD20_NAME_FORM">DATA_FORMS!$C$7</definedName>
    <definedName name="fil">Титульный!$F$30</definedName>
    <definedName name="HEAT_FIN_SRC_LIST">TEHSHEET!$BH$4:$BH$26</definedName>
    <definedName name="HEAT_FIN_SRC_VLD_LIST">TEHSHEET!$BH$39:$BH$54</definedName>
    <definedName name="HEAT_IP_EVENT_CI_STAGE_LIST">TEHSHEET!$BH$97:$BH$99</definedName>
    <definedName name="HEAT_IP_EVENT_GROUP_LIST">TEHSHEET!$BH$69:$BH$76</definedName>
    <definedName name="HEAT_IP_EVENT_SUBGROUP_1_LIST">TEHSHEET!$BH$80:$BH$83</definedName>
    <definedName name="HEAT_IP_EVENT_SUBGROUP_3_LIST">TEHSHEET!$BH$87:$BH$88</definedName>
    <definedName name="HEAT_IP_EVENT_SUBGROUP_5_LIST">TEHSHEET!$BH$92:$BH$93</definedName>
    <definedName name="HEAT_IP_EVENT_TYPE_LIST">TEHSHEET!$BH$108:$BH$110</definedName>
    <definedName name="HEAT_PT_SCHEME">TEHSHEET!$BH$115:$BH$118</definedName>
    <definedName name="HEAT_PT_TARIFF_ID">TEHSHEET!$BQ$5:$BQ$14</definedName>
    <definedName name="HEAT_PT_TARIFF_NAME">TEHSHEET!$BR$5:$BR$14</definedName>
    <definedName name="HEAT_PT_TARIFF_NAME_LIST">TEHSHEET!$BQ$5:$BR$14</definedName>
    <definedName name="HEAT_PT_VED_ID">TEHSHEET!$BQ$19:$BQ$28</definedName>
    <definedName name="HEAT_PT_VED_NAME">TEHSHEET!$BR$19:$BR$28</definedName>
    <definedName name="HEAT_PT_VED_NAME_LIST">TEHSHEET!$BQ$19:$BR$28</definedName>
    <definedName name="HEAT_TARIFF_A_ADD_HL_COLUMN_MARKER">'ТС. Т-ТЭ | &gt;=25МВт'!$T$36</definedName>
    <definedName name="HEAT_TARIFF_A_DEL_HL_GC_COLUMN_MARKER">'ТС. Т-ТЭ | &gt;=25МВт'!$Q$36</definedName>
    <definedName name="HEAT_TARIFF_A_DEL_HL_SCHEME_COLUMN_MARKER">'ТС. Т-ТЭ | &gt;=25МВт'!$P$36</definedName>
    <definedName name="HEAT_TARIFF_A_DEL_HL_TN_COLUMN_MARKER">'ТС. Т-ТЭ | &gt;=25МВт'!$R$36</definedName>
    <definedName name="HEAT_TARIFF_A_DELETE_PERIOD_ROW_MARKER">'ТС. Т-ТЭ | &gt;=25МВт'!$O$37</definedName>
    <definedName name="HEAT_TARIFF_A_FLAG_BLOCK_COLUMN_MARKER">'ТС. Т-ТЭ | &gt;=25МВт'!$L$41</definedName>
    <definedName name="HEAT_TARIFF_A_FLAG_BLOCK_ROW_MARKER">'ТС. Т-ТЭ | &gt;=25МВт'!$O$22</definedName>
    <definedName name="HEAT_TARIFF_A_NUM_CS_COLUMN_MARKER">'ТС. Т-ТЭ | &gt;=25МВт'!$G$41</definedName>
    <definedName name="HEAT_TARIFF_A_NUM_GC_COLUMN_MARKER">'ТС. Т-ТЭ | &gt;=25МВт'!$J$41</definedName>
    <definedName name="HEAT_TARIFF_A_NUM_IST_TE_COLUMN_MARKER">'ТС. Т-ТЭ | &gt;=25МВт'!$H$41</definedName>
    <definedName name="HEAT_TARIFF_A_NUM_NTAR_COLUMN_MARKER">'ТС. Т-ТЭ | &gt;=25МВт'!$E$41</definedName>
    <definedName name="HEAT_TARIFF_A_NUM_SCHEME_COLUMN_MARKER">'ТС. Т-ТЭ | &gt;=25МВт'!$I$41</definedName>
    <definedName name="HEAT_TARIFF_A_NUM_TER_COLUMN_MARKER">'ТС. Т-ТЭ | &gt;=25МВт'!$F$41</definedName>
    <definedName name="HEAT_TARIFF_A_NUM_TN_COLUMN_MARKER">'ТС. Т-ТЭ | &gt;=25МВт'!$K$41</definedName>
    <definedName name="HEAT_TARIFF_B_ADD_HL_COLUMN_MARKER">'ТС. Т-ТЭ | ТСО'!$T$36</definedName>
    <definedName name="HEAT_TARIFF_B_DEL_HL_GC_COLUMN_MARKER">'ТС. Т-ТЭ | ТСО'!$Q$36</definedName>
    <definedName name="HEAT_TARIFF_B_DEL_HL_SCHEME_COLUMN_MARKER">'ТС. Т-ТЭ | ТСО'!$P$36</definedName>
    <definedName name="HEAT_TARIFF_B_DEL_HL_TN_COLUMN_MARKER">'ТС. Т-ТЭ | ТСО'!$R$36</definedName>
    <definedName name="HEAT_TARIFF_B_DELETE_PERIOD_ROW_MARKER">'ТС. Т-ТЭ | ТСО'!$O$37</definedName>
    <definedName name="HEAT_TARIFF_B_FLAG_BLOCK_COLUMN_MARKER">'ТС. Т-ТЭ | ТСО'!$L$41</definedName>
    <definedName name="HEAT_TARIFF_B_FLAG_BLOCK_ROW_MARKER">'ТС. Т-ТЭ | ТСО'!$O$22</definedName>
    <definedName name="HEAT_TARIFF_B_NUM_CS_COLUMN_MARKER">'ТС. Т-ТЭ | ТСО'!$G$41</definedName>
    <definedName name="HEAT_TARIFF_B_NUM_GC_COLUMN_MARKER">'ТС. Т-ТЭ | ТСО'!$J$41</definedName>
    <definedName name="HEAT_TARIFF_B_NUM_IST_TE_COLUMN_MARKER">'ТС. Т-ТЭ | ТСО'!$H$41</definedName>
    <definedName name="HEAT_TARIFF_B_NUM_NTAR_COLUMN_MARKER">'ТС. Т-ТЭ | ТСО'!$E$41</definedName>
    <definedName name="HEAT_TARIFF_B_NUM_SCHEME_COLUMN_MARKER">'ТС. Т-ТЭ | ТСО'!$I$41</definedName>
    <definedName name="HEAT_TARIFF_B_NUM_TER_COLUMN_MARKER">'ТС. Т-ТЭ | ТСО'!$F$41</definedName>
    <definedName name="HEAT_TARIFF_B_NUM_TN_COLUMN_MARKER">'ТС. Т-ТЭ | ТСО'!$K$41</definedName>
    <definedName name="HEAT_TARIFF_C_ADD_HL_COLUMN_MARKER">'ТС. Т-ТН'!$T$36</definedName>
    <definedName name="HEAT_TARIFF_C_DEL_HL_GC_COLUMN_MARKER">'ТС. Т-ТН'!$Q$36</definedName>
    <definedName name="HEAT_TARIFF_C_DEL_HL_SCHEME_COLUMN_MARKER">'ТС. Т-ТН'!$P$36</definedName>
    <definedName name="HEAT_TARIFF_C_DEL_HL_TN_COLUMN_MARKER">'ТС. Т-ТН'!$R$36</definedName>
    <definedName name="HEAT_TARIFF_C_DELETE_PERIOD_ROW_MARKER">'ТС. Т-ТН'!$O$37</definedName>
    <definedName name="HEAT_TARIFF_C_FLAG_BLOCK_COLUMN_MARKER">'ТС. Т-ТН'!$L$41</definedName>
    <definedName name="HEAT_TARIFF_C_FLAG_BLOCK_ROW_MARKER">'ТС. Т-ТН'!$O$22</definedName>
    <definedName name="HEAT_TARIFF_C_NUM_CS_COLUMN_MARKER">'ТС. Т-ТН'!$G$41</definedName>
    <definedName name="HEAT_TARIFF_C_NUM_GC_COLUMN_MARKER">'ТС. Т-ТН'!$J$41</definedName>
    <definedName name="HEAT_TARIFF_C_NUM_IST_TE_COLUMN_MARKER">'ТС. Т-ТН'!$H$41</definedName>
    <definedName name="HEAT_TARIFF_C_NUM_NTAR_COLUMN_MARKER">'ТС. Т-ТН'!$E$41</definedName>
    <definedName name="HEAT_TARIFF_C_NUM_SCHEME_COLUMN_MARKER">'ТС. Т-ТН'!$I$41</definedName>
    <definedName name="HEAT_TARIFF_C_NUM_TER_COLUMN_MARKER">'ТС. Т-ТН'!$F$41</definedName>
    <definedName name="HEAT_TARIFF_C_NUM_TN_COLUMN_MARKER">'ТС. Т-ТН'!$K$41</definedName>
    <definedName name="HEAT_TARIFF_D_ADD_HL_COLUMN_MARKER">'ТС. Т-гор.вода'!$V$40</definedName>
    <definedName name="HEAT_TARIFF_D_DEL_HL_CONS_COLUMN_MARKER">'ТС. Т-гор.вода'!$T$40</definedName>
    <definedName name="HEAT_TARIFF_D_DEL_HL_GC_COLUMN_MARKER">'ТС. Т-гор.вода'!$R$40</definedName>
    <definedName name="HEAT_TARIFF_D_DEL_HL_SCHEME_COLUMN_MARKER">'ТС. Т-гор.вода'!$Q$40</definedName>
    <definedName name="HEAT_TARIFF_D_DEL_HL_TN_COLUMN_MARKER">'ТС. Т-гор.вода'!$S$40</definedName>
    <definedName name="HEAT_TARIFF_D_DELETE_PERIOD_ROW_MARKER">'ТС. Т-гор.вода'!$P$41</definedName>
    <definedName name="HEAT_TARIFF_D_FLAG_BLOCK_COLUMN_MARKER">'ТС. Т-гор.вода'!$M$47</definedName>
    <definedName name="HEAT_TARIFF_D_FLAG_BLOCK_ROW_MARKER">'ТС. Т-гор.вода'!$P$26</definedName>
    <definedName name="HEAT_TARIFF_D_NUM_CONS_COLUMN_MARKER">'ТС. Т-гор.вода'!$L$47</definedName>
    <definedName name="HEAT_TARIFF_D_NUM_CS_COLUMN_MARKER">'ТС. Т-гор.вода'!$G$47</definedName>
    <definedName name="HEAT_TARIFF_D_NUM_GC_COLUMN_MARKER">'ТС. Т-гор.вода'!$J$47</definedName>
    <definedName name="HEAT_TARIFF_D_NUM_IST_TE_COLUMN_MARKER">'ТС. Т-гор.вода'!$H$47</definedName>
    <definedName name="HEAT_TARIFF_D_NUM_NTAR_COLUMN_MARKER">'ТС. Т-гор.вода'!$E$47</definedName>
    <definedName name="HEAT_TARIFF_D_NUM_SCHEME_COLUMN_MARKER">'ТС. Т-гор.вода'!$I$47</definedName>
    <definedName name="HEAT_TARIFF_D_NUM_TER_COLUMN_MARKER">'ТС. Т-гор.вода'!$F$47</definedName>
    <definedName name="HEAT_TARIFF_D_NUM_TN_COLUMN_MARKER">'ТС. Т-гор.вода'!$K$47</definedName>
    <definedName name="HEAT_TARIFF_E1_ADD_HL_COLUMN_MARKER">'ТС. Т-передача ТЭ'!$T$36</definedName>
    <definedName name="HEAT_TARIFF_E1_DEL_HL_GC_COLUMN_MARKER">'ТС. Т-передача ТЭ'!$Q$36</definedName>
    <definedName name="HEAT_TARIFF_E1_DEL_HL_SCHEME_COLUMN_MARKER">'ТС. Т-передача ТЭ'!$P$36</definedName>
    <definedName name="HEAT_TARIFF_E1_DEL_HL_TN_COLUMN_MARKER">'ТС. Т-передача ТЭ'!$R$36</definedName>
    <definedName name="HEAT_TARIFF_E1_DELETE_PERIOD_ROW_MARKER">'ТС. Т-передача ТЭ'!$O$37</definedName>
    <definedName name="HEAT_TARIFF_E1_FLAG_BLOCK_COLUMN_MARKER">'ТС. Т-передача ТЭ'!$L$41</definedName>
    <definedName name="HEAT_TARIFF_E1_FLAG_BLOCK_ROW_MARKER">'ТС. Т-передача ТЭ'!$O$22</definedName>
    <definedName name="HEAT_TARIFF_E1_NUM_CS_COLUMN_MARKER">'ТС. Т-передача ТЭ'!$G$41</definedName>
    <definedName name="HEAT_TARIFF_E1_NUM_GC_COLUMN_MARKER">'ТС. Т-передача ТЭ'!$J$41</definedName>
    <definedName name="HEAT_TARIFF_E1_NUM_IST_TE_COLUMN_MARKER">'ТС. Т-передача ТЭ'!$H$41</definedName>
    <definedName name="HEAT_TARIFF_E1_NUM_NTAR_COLUMN_MARKER">'ТС. Т-передача ТЭ'!$E$41</definedName>
    <definedName name="HEAT_TARIFF_E1_NUM_SCHEME_COLUMN_MARKER">'ТС. Т-передача ТЭ'!$I$41</definedName>
    <definedName name="HEAT_TARIFF_E1_NUM_TER_COLUMN_MARKER">'ТС. Т-передача ТЭ'!$F$41</definedName>
    <definedName name="HEAT_TARIFF_E1_NUM_TN_COLUMN_MARKER">'ТС. Т-передача ТЭ'!$K$41</definedName>
    <definedName name="HEAT_TARIFF_E2_ADD_HL_COLUMN_MARKER">'ТС. Т-передача ТН'!$T$36</definedName>
    <definedName name="HEAT_TARIFF_E2_DEL_HL_GC_COLUMN_MARKER">'ТС. Т-передача ТН'!$Q$36</definedName>
    <definedName name="HEAT_TARIFF_E2_DEL_HL_SCHEME_COLUMN_MARKER">'ТС. Т-передача ТН'!$P$36</definedName>
    <definedName name="HEAT_TARIFF_E2_DEL_HL_TN_COLUMN_MARKER">'ТС. Т-передача ТН'!$R$36</definedName>
    <definedName name="HEAT_TARIFF_E2_DELETE_PERIOD_ROW_MARKER">'ТС. Т-передача ТН'!$O$37</definedName>
    <definedName name="HEAT_TARIFF_E2_FLAG_BLOCK_COLUMN_MARKER">'ТС. Т-передача ТН'!$L$41</definedName>
    <definedName name="HEAT_TARIFF_E2_FLAG_BLOCK_ROW_MARKER">'ТС. Т-передача ТН'!$O$22</definedName>
    <definedName name="HEAT_TARIFF_E2_NUM_CS_COLUMN_MARKER">'ТС. Т-передача ТН'!$G$41</definedName>
    <definedName name="HEAT_TARIFF_E2_NUM_GC_COLUMN_MARKER">'ТС. Т-передача ТН'!$J$41</definedName>
    <definedName name="HEAT_TARIFF_E2_NUM_IST_TE_COLUMN_MARKER">'ТС. Т-передача ТН'!$H$41</definedName>
    <definedName name="HEAT_TARIFF_E2_NUM_NTAR_COLUMN_MARKER">'ТС. Т-передача ТН'!$E$41</definedName>
    <definedName name="HEAT_TARIFF_E2_NUM_SCHEME_COLUMN_MARKER">'ТС. Т-передача ТН'!$I$41</definedName>
    <definedName name="HEAT_TARIFF_E2_NUM_TER_COLUMN_MARKER">'ТС. Т-передача ТН'!$F$41</definedName>
    <definedName name="HEAT_TARIFF_E2_NUM_TN_COLUMN_MARKER">'ТС. Т-передача ТН'!$K$41</definedName>
    <definedName name="HEAT_TARIFF_F_ADD_HL_COLUMN_MARKER">'ТС. Резерв мощности'!$T$36</definedName>
    <definedName name="HEAT_TARIFF_F_DEL_HL_GC_COLUMN_MARKER">'ТС. Резерв мощности'!$Q$36</definedName>
    <definedName name="HEAT_TARIFF_F_DEL_HL_SCHEME_COLUMN_MARKER">'ТС. Резерв мощности'!$P$36</definedName>
    <definedName name="HEAT_TARIFF_F_DEL_HL_TN_COLUMN_MARKER">'ТС. Резерв мощности'!$R$36</definedName>
    <definedName name="HEAT_TARIFF_F_DELETE_PERIOD_ROW_MARKER">'ТС. Резерв мощности'!$O$37</definedName>
    <definedName name="HEAT_TARIFF_F_FLAG_BLOCK_COLUMN_MARKER">'ТС. Резерв мощности'!$L$41</definedName>
    <definedName name="HEAT_TARIFF_F_FLAG_BLOCK_ROW_MARKER">'ТС. Резерв мощности'!$O$22</definedName>
    <definedName name="HEAT_TARIFF_F_NUM_CS_COLUMN_MARKER">'ТС. Резерв мощности'!$G$41</definedName>
    <definedName name="HEAT_TARIFF_F_NUM_GC_COLUMN_MARKER">'ТС. Резерв мощности'!$J$41</definedName>
    <definedName name="HEAT_TARIFF_F_NUM_IST_TE_COLUMN_MARKER">'ТС. Резерв мощности'!$H$41</definedName>
    <definedName name="HEAT_TARIFF_F_NUM_NTAR_COLUMN_MARKER">'ТС. Резерв мощности'!$E$41</definedName>
    <definedName name="HEAT_TARIFF_F_NUM_SCHEME_COLUMN_MARKER">'ТС. Резерв мощности'!$I$41</definedName>
    <definedName name="HEAT_TARIFF_F_NUM_TER_COLUMN_MARKER">'ТС. Резерв мощности'!$F$41</definedName>
    <definedName name="HEAT_TARIFF_F_NUM_TN_COLUMN_MARKER">'ТС. Резерв мощности'!$K$41</definedName>
    <definedName name="HEAT_TARIFF_G_ADD_HL_COLUMN_MARKER">'ТС. Т-подкл'!$T$37</definedName>
    <definedName name="HEAT_TARIFF_G_ADD_HL_DIAMETERS_COLUMN_MARKER">'ТС. Т-подкл'!$AM$37</definedName>
    <definedName name="HEAT_TARIFF_G_ADD_HL_LOAD_COLUMN_MARKER">'ТС. Т-подкл'!$AE$37</definedName>
    <definedName name="HEAT_TARIFF_G_ADD_HL_NETS_COLUMN_MARKER">'ТС. Т-подкл'!$AI$37</definedName>
    <definedName name="HEAT_TARIFF_G_DEL_HL_DIAMETERS_COLUMN_MARKER">'ТС. Т-подкл'!$AK$37</definedName>
    <definedName name="HEAT_TARIFF_G_DEL_HL_GC_COLUMN_MARKER">'ТС. Т-подкл'!$Q$37</definedName>
    <definedName name="HEAT_TARIFF_G_DEL_HL_LOAD_COLUMN_MARKER">'ТС. Т-подкл'!$AC$37</definedName>
    <definedName name="HEAT_TARIFF_G_DEL_HL_NETS_COLUMN_MARKER">'ТС. Т-подкл'!$AG$37</definedName>
    <definedName name="HEAT_TARIFF_G_DEL_HL_SCHEME_COLUMN_MARKER">'ТС. Т-подкл'!$P$37</definedName>
    <definedName name="HEAT_TARIFF_G_DEL_HL_TN_COLUMN_MARKER">'ТС. Т-подкл'!$R$37</definedName>
    <definedName name="HEAT_TARIFF_G_DELETE_PERIOD_ROW_MARKER">'ТС. Т-подкл'!$O$38</definedName>
    <definedName name="HEAT_TARIFF_G_FLAG_BLOCK_COLUMN_MARKER">'ТС. Т-подкл'!$L$43</definedName>
    <definedName name="HEAT_TARIFF_G_FLAG_BLOCK_ROW_MARKER">'ТС. Т-подкл'!$O$23</definedName>
    <definedName name="HEAT_TARIFF_G_NUM_CS_COLUMN_MARKER">'ТС. Т-подкл'!$G$43</definedName>
    <definedName name="HEAT_TARIFF_G_NUM_DIAMETERS_COLUMN_MARKER">'ТС. Т-подкл'!$AL$37</definedName>
    <definedName name="HEAT_TARIFF_G_NUM_GC_COLUMN_MARKER">'ТС. Т-подкл'!$J$43</definedName>
    <definedName name="HEAT_TARIFF_G_NUM_IST_TE_COLUMN_MARKER">'ТС. Т-подкл'!$H$43</definedName>
    <definedName name="HEAT_TARIFF_G_NUM_LOAD_COLUMN_MARKER">'ТС. Т-подкл'!$AD$37</definedName>
    <definedName name="HEAT_TARIFF_G_NUM_NETS_COLUMN_MARKER">'ТС. Т-подкл'!$AH$37</definedName>
    <definedName name="HEAT_TARIFF_G_NUM_NTAR_COLUMN_MARKER">'ТС. Т-подкл'!$E$43</definedName>
    <definedName name="HEAT_TARIFF_G_NUM_SCHEME_COLUMN_MARKER">'ТС. Т-подкл'!$I$43</definedName>
    <definedName name="HEAT_TARIFF_G_NUM_TER_COLUMN_MARKER">'ТС. Т-подкл'!$F$43</definedName>
    <definedName name="HEAT_TARIFF_G_NUM_TN_COLUMN_MARKER">'ТС. Т-подкл'!$K$43</definedName>
    <definedName name="HOTVSNA_FIN_SRC_LIST">TEHSHEET!$BJ$4:$BJ$34</definedName>
    <definedName name="HOTVSNA_FIN_SRC_VLD_LIST">TEHSHEET!$BJ$39:$BJ$60</definedName>
    <definedName name="HOTVSNA_IP_EVENT_CI_STAGE_LIST">TEHSHEET!$BJ$97:$BJ$100</definedName>
    <definedName name="HOTVSNA_IP_EVENT_GROUP_LIST">TEHSHEET!$BJ$69:$BJ$76</definedName>
    <definedName name="HOTVSNA_IP_EVENT_SUBGROUP_1_LIST">TEHSHEET!$BJ$80:$BJ$83</definedName>
    <definedName name="HOTVSNA_IP_EVENT_SUBGROUP_3_LIST">TEHSHEET!$BJ$87:$BJ$88</definedName>
    <definedName name="HOTVSNA_IP_EVENT_SUBGROUP_5_LIST">TEHSHEET!$BJ$92:$BJ$93</definedName>
    <definedName name="HOTVSNA_IP_EVENT_TYPE_LIST">TEHSHEET!$BJ$108</definedName>
    <definedName name="HOTVSNA_PT_VED_ID">TEHSHEET!$BW$19:$BW$21</definedName>
    <definedName name="HOTVSNA_PT_VED_NAME">TEHSHEET!$BX$19:$BX$21</definedName>
    <definedName name="HOTVSNA_PT_VED_NAME_LIST">TEHSHEET!$BW$19:$BX$21</definedName>
    <definedName name="HOTVSNA_TARIFF_A_HOTVSNA_ADD_HL_COLUMN_MARKER">'ГВС. Т-гор.вода'!$T$34</definedName>
    <definedName name="HOTVSNA_TARIFF_A_HOTVSNA_DEL_HL_DATA_DIFF_COLUMN_MARKER">'ГВС. Т-гор.вода'!$R$34</definedName>
    <definedName name="HOTVSNA_TARIFF_A_HOTVSNA_DEL_HL_FLAG_DIFF_COLUMN_MARKER">'ГВС. Т-гор.вода'!$P$34</definedName>
    <definedName name="HOTVSNA_TARIFF_A_HOTVSNA_DEL_HL_GC_COLUMN_MARKER">'ГВС. Т-гор.вода'!$Q$34</definedName>
    <definedName name="HOTVSNA_TARIFF_A_HOTVSNA_DELETE_PERIOD_ROW_MARKER">'ГВС. Т-гор.вода'!$O$35</definedName>
    <definedName name="HOTVSNA_TARIFF_A_HOTVSNA_FLAG_BLOCK_COLUMN_MARKER">'ГВС. Т-гор.вода'!$L$36</definedName>
    <definedName name="HOTVSNA_TARIFF_A_HOTVSNA_FLAG_BLOCK_ROW_MARKER">'ГВС. Т-гор.вода'!$O$20</definedName>
    <definedName name="HOTVSNA_TARIFF_A_HOTVSNA_NUM_CS_COLUMN_MARKER">'ГВС. Т-гор.вода'!$G$36</definedName>
    <definedName name="HOTVSNA_TARIFF_A_HOTVSNA_NUM_DATA_DIFF_COLUMN_MARKER">'ГВС. Т-гор.вода'!$K$36</definedName>
    <definedName name="HOTVSNA_TARIFF_A_HOTVSNA_NUM_FLAG_DIFF_COLUMN_MARKER">'ГВС. Т-гор.вода'!$I$36</definedName>
    <definedName name="HOTVSNA_TARIFF_A_HOTVSNA_NUM_GC_COLUMN_MARKER">'ГВС. Т-гор.вода'!$J$36</definedName>
    <definedName name="HOTVSNA_TARIFF_A_HOTVSNA_NUM_NTAR_COLUMN_MARKER">'ГВС. Т-гор.вода'!$E$36</definedName>
    <definedName name="HOTVSNA_TARIFF_A_HOTVSNA_NUM_TER_COLUMN_MARKER">'ГВС. Т-гор.вода'!$F$36</definedName>
    <definedName name="HOTVSNA_TARIFF_B_HOTVSNA_ADD_HL_COLUMN_MARKER">'ГВС. Т-транс'!$T$34</definedName>
    <definedName name="HOTVSNA_TARIFF_B_HOTVSNA_DEL_HL_DATA_DIFF_COLUMN_MARKER">'ГВС. Т-транс'!$R$34</definedName>
    <definedName name="HOTVSNA_TARIFF_B_HOTVSNA_DEL_HL_FLAG_DIFF_COLUMN_MARKER">'ГВС. Т-транс'!$P$34</definedName>
    <definedName name="HOTVSNA_TARIFF_B_HOTVSNA_DEL_HL_GC_COLUMN_MARKER">'ГВС. Т-транс'!$Q$34</definedName>
    <definedName name="HOTVSNA_TARIFF_B_HOTVSNA_DELETE_PERIOD_ROW_MARKER">'ГВС. Т-транс'!$O$35</definedName>
    <definedName name="HOTVSNA_TARIFF_B_HOTVSNA_FLAG_BLOCK_COLUMN_MARKER">'ГВС. Т-транс'!$L$36</definedName>
    <definedName name="HOTVSNA_TARIFF_B_HOTVSNA_FLAG_BLOCK_ROW_MARKER">'ГВС. Т-транс'!$O$20</definedName>
    <definedName name="HOTVSNA_TARIFF_B_HOTVSNA_NUM_CS_COLUMN_MARKER">'ГВС. Т-транс'!$G$36</definedName>
    <definedName name="HOTVSNA_TARIFF_B_HOTVSNA_NUM_DATA_DIFF_COLUMN_MARKER">'ГВС. Т-транс'!$K$36</definedName>
    <definedName name="HOTVSNA_TARIFF_B_HOTVSNA_NUM_FLAG_DIFF_COLUMN_MARKER">'ГВС. Т-транс'!$I$36</definedName>
    <definedName name="HOTVSNA_TARIFF_B_HOTVSNA_NUM_GC_COLUMN_MARKER">'ГВС. Т-транс'!$J$36</definedName>
    <definedName name="HOTVSNA_TARIFF_B_HOTVSNA_NUM_NTAR_COLUMN_MARKER">'ГВС. Т-транс'!$E$36</definedName>
    <definedName name="HOTVSNA_TARIFF_B_HOTVSNA_NUM_TER_COLUMN_MARKER">'ГВС. Т-транс'!$F$36</definedName>
    <definedName name="HOTVSNA_TARIFF_C_HOTVSNA_ADD_HL_COLUMN_MARKER">'ГВС. Т-подкл'!$T$38</definedName>
    <definedName name="HOTVSNA_TARIFF_C_HOTVSNA_ADD_HL_DIAMETERS_COLUMN_MARKER">'ГВС. Т-подкл'!$AK$38</definedName>
    <definedName name="HOTVSNA_TARIFF_C_HOTVSNA_ADD_HL_LEN_COLUMN_MARKER">'ГВС. Т-подкл'!$AO$38</definedName>
    <definedName name="HOTVSNA_TARIFF_C_HOTVSNA_ADD_HL_LOAD_COLUMN_MARKER">'ГВС. Т-подкл'!$AG$38</definedName>
    <definedName name="HOTVSNA_TARIFF_C_HOTVSNA_ADD_HL_NETS_COLUMN_MARKER">'ГВС. Т-подкл'!$AS$38</definedName>
    <definedName name="HOTVSNA_TARIFF_C_HOTVSNA_DEL_HL_DATA_DIFF_COLUMN_MARKER">'ГВС. Т-подкл'!$R$38</definedName>
    <definedName name="HOTVSNA_TARIFF_C_HOTVSNA_DEL_HL_DIAMETERS_COLUMN_MARKER">'ГВС. Т-подкл'!$AI$38</definedName>
    <definedName name="HOTVSNA_TARIFF_C_HOTVSNA_DEL_HL_FLAG_DIFF_COLUMN_MARKER">'ГВС. Т-подкл'!$P$38</definedName>
    <definedName name="HOTVSNA_TARIFF_C_HOTVSNA_DEL_HL_GC_COLUMN_MARKER">'ГВС. Т-подкл'!$Q$38</definedName>
    <definedName name="HOTVSNA_TARIFF_C_HOTVSNA_DEL_HL_LEN_COLUMN_MARKER">'ГВС. Т-подкл'!$AM$38</definedName>
    <definedName name="HOTVSNA_TARIFF_C_HOTVSNA_DEL_HL_LOAD_COLUMN_MARKER">'ГВС. Т-подкл'!$AE$38</definedName>
    <definedName name="HOTVSNA_TARIFF_C_HOTVSNA_DEL_HL_NETS_COLUMN_MARKER">'ГВС. Т-подкл'!$AQ$38</definedName>
    <definedName name="HOTVSNA_TARIFF_C_HOTVSNA_DELETE_PERIOD_ROW_MARKER">'ГВС. Т-подкл'!$O$39</definedName>
    <definedName name="HOTVSNA_TARIFF_C_HOTVSNA_FLAG_BLOCK_COLUMN_MARKER">'ГВС. Т-подкл'!$L$44</definedName>
    <definedName name="HOTVSNA_TARIFF_C_HOTVSNA_FLAG_BLOCK_ROW_MARKER">'ГВС. Т-подкл'!$O$24</definedName>
    <definedName name="HOTVSNA_TARIFF_C_HOTVSNA_NUM_CS_COLUMN_MARKER">'ГВС. Т-подкл'!$G$44</definedName>
    <definedName name="HOTVSNA_TARIFF_C_HOTVSNA_NUM_DATA_DIFF_COLUMN_MARKER">'ГВС. Т-подкл'!$K$44</definedName>
    <definedName name="HOTVSNA_TARIFF_C_HOTVSNA_NUM_DIAMETERS_COLUMN_MARKER">'ГВС. Т-подкл'!$AJ$38</definedName>
    <definedName name="HOTVSNA_TARIFF_C_HOTVSNA_NUM_FLAG_DIFF_COLUMN_MARKER">'ГВС. Т-подкл'!$I$44</definedName>
    <definedName name="HOTVSNA_TARIFF_C_HOTVSNA_NUM_GC_COLUMN_MARKER">'ГВС. Т-подкл'!$J$44</definedName>
    <definedName name="HOTVSNA_TARIFF_C_HOTVSNA_NUM_LEN_COLUMN_MARKER">'ГВС. Т-подкл'!$AN$38</definedName>
    <definedName name="HOTVSNA_TARIFF_C_HOTVSNA_NUM_LOAD_COLUMN_MARKER">'ГВС. Т-подкл'!$AF$38</definedName>
    <definedName name="HOTVSNA_TARIFF_C_HOTVSNA_NUM_NETS_COLUMN_MARKER">'ГВС. Т-подкл'!$AR$38</definedName>
    <definedName name="HOTVSNA_TARIFF_C_HOTVSNA_NUM_NTAR_COLUMN_MARKER">'ГВС. Т-подкл'!$E$44</definedName>
    <definedName name="HOTVSNA_TARIFF_C_HOTVSNA_NUM_TER_COLUMN_MARKER">'ГВС. Т-подкл'!$F$44</definedName>
    <definedName name="Info_Diff">modInfo!$B$28</definedName>
    <definedName name="Info_Diff1">modInfo!$B$30</definedName>
    <definedName name="Info_FilFlag">modInfo!$B$1</definedName>
    <definedName name="Info_ForMOInListMO">modInfo!$B$18</definedName>
    <definedName name="Info_ForMRInListMO">modInfo!$B$17</definedName>
    <definedName name="Info_ForSKIInListMO">modInfo!$B$19</definedName>
    <definedName name="Info_ForSKINumberInListMO">modInfo!$B$20</definedName>
    <definedName name="Info_NoteStandarts">modInfo!$B$22</definedName>
    <definedName name="Info_NoUpdates">modInfo!$B$36</definedName>
    <definedName name="Info_PeriodInTitle">modInfo!$B$4</definedName>
    <definedName name="Info_PrDiff">modInfo!$B$29</definedName>
    <definedName name="Info_PublicationNotDisclosed">modInfo!$B$15</definedName>
    <definedName name="Info_PublicationPdf">modInfo!$B$14</definedName>
    <definedName name="Info_PublicationWeb">modInfo!$B$13</definedName>
    <definedName name="Info_T_Podkl">modInfo!$B$24</definedName>
    <definedName name="Info_TarName">modInfo!$B$27</definedName>
    <definedName name="Info_TerExcludeHelp_1">modInfo!$B$33</definedName>
    <definedName name="Info_TerExcludeHelp_2">modInfo!$B$34</definedName>
    <definedName name="Info_TitleFil">modInfo!$B$11</definedName>
    <definedName name="Info_TitleFlagCrossSubsidization">modInfo!$B$8</definedName>
    <definedName name="Info_TitleFlagIstPubl">modInfo!$B$9</definedName>
    <definedName name="Info_TitleFlagTwoPartTariff">modInfo!$B$7</definedName>
    <definedName name="Info_TitleGroupRates">modInfo!$B$5</definedName>
    <definedName name="Info_TitleKindPublication">modInfo!$B$3</definedName>
    <definedName name="Info_TitleKindsOfGoods">modInfo!$B$6</definedName>
    <definedName name="Info_TitlePublication">modInfo!$B$2</definedName>
    <definedName name="Info_TitleType">modInfo!$B$10</definedName>
    <definedName name="inn">Титульный!$F$31</definedName>
    <definedName name="IP_CLAIM_LIST">TEHSHEET!$AZ$20:$AZ$26</definedName>
    <definedName name="IP_DETAILED_ADD_HL_EVENT_COLUMN_MARKER">'ИП. Детализация'!$I$7</definedName>
    <definedName name="IP_DETAILED_ADD_HL_IST_FIN_COLUMN_MARKER">'ИП. Детализация'!$AB$7</definedName>
    <definedName name="IP_DETAILED_ADD_HL_OBJECT_COLUMN_MARKER">'ИП. Детализация'!$P$7</definedName>
    <definedName name="IP_DETAILED_DATA_KS">'ИП. Детализация'!$M$7</definedName>
    <definedName name="IP_DETAILED_EVENT_MARKER">'ИП. Детализация'!$K$7:$Y$7</definedName>
    <definedName name="IP_DETAILED_EVENT_SUBGROUP_COLUMN_MARKER">'ИП. Детализация'!$J$7</definedName>
    <definedName name="IP_DETAILED_EVENT_SUBGROUP_RANGE_COLUMN_MARKER">'ИП. Детализация'!$B$7</definedName>
    <definedName name="IP_DETAILED_FLAG_KS">'ИП. Детализация'!$L$7</definedName>
    <definedName name="IP_DETAILED_FLAG_OBJECT">'ИП. Детализация'!$P$13</definedName>
    <definedName name="IP_DETAILED_GROUP_MARKER">'ИП. Детализация'!$I$7:$J$7</definedName>
    <definedName name="IP_DETAILED_IST_FIN_FACT_COLUMN_MARKER">'ИП. Детализация'!$AD$7</definedName>
    <definedName name="IP_DETAILED_LIST_IP_ID">'ИП. Детализация'!$A$14:$A$14</definedName>
    <definedName name="IP_DETAILED_MONTH_FACT_COLUMN_MARKER">'ИП. Детализация'!$AJ$7</definedName>
    <definedName name="IP_DETAILED_MONTH_PLAN_COLUMN_MARKER">'ИП. Детализация'!$AG$7</definedName>
    <definedName name="IP_DETAILED_NAME_EVENT_COLUMN_MARKER">'ИП. Детализация'!$K$7</definedName>
    <definedName name="IP_DETAILED_YEAR_FACT_COLUMN_MARKER">'ИП. Детализация'!$AK$7</definedName>
    <definedName name="IP_DETAILED_YEAR_PLAN_COLUMN_MARKER">'ИП. Детализация'!$AH$7</definedName>
    <definedName name="IP_FIN_PLAN_LIST_ID_MARKER_ROW">'ИП. Финансовый план'!$E$8</definedName>
    <definedName name="IP_FIN_PLAN_NAME_IP_MARKER_ROW">'ИП. Финансовый план'!$E$11</definedName>
    <definedName name="IP_FIN_PLAN_YEAR_MARKER_ROW">'ИП. Финансовый план'!$E$12</definedName>
    <definedName name="IP_ID">TEHSHEET!$E$58</definedName>
    <definedName name="IP_MAIN_ADD_HL_PROPERTY_COLUMN_MARKER">ИП!$AB$7</definedName>
    <definedName name="IP_MAIN_APPROVAL_DATE">ИП!$I$11:$I$13</definedName>
    <definedName name="IP_MAIN_CHANGE_DATE">ИП!$J$11:$J$13</definedName>
    <definedName name="IP_MAIN_CLAIM">ИП!$K$11:$K$13</definedName>
    <definedName name="IP_MAIN_DATE_PARKING">ИП!$L$5</definedName>
    <definedName name="IP_MAIN_DELETE_HL_COLUMN_MARKER">ИП!$E$7</definedName>
    <definedName name="IP_MAIN_DIFFERENTIATION_EVENTS_FLAG">ИП!$H$11:$H$13</definedName>
    <definedName name="IP_MAIN_END_DATE">ИП!$O$11:$O$13</definedName>
    <definedName name="IP_MAIN_FLAG_KS">ИП!$Y$11:$Y$13</definedName>
    <definedName name="IP_MAIN_FLAG_KS_COLUMN_MARKER">ИП!$Y$7</definedName>
    <definedName name="IP_MAIN_IP_FIN_PLAN_VISIBLE_FLAG">ИП!$H$15</definedName>
    <definedName name="IP_MAIN_LIST_IP_ID">ИП!$AD$11:$AD$13</definedName>
    <definedName name="IP_MAIN_LIST_NAME_IP">ИП!$G$11:$G$13</definedName>
    <definedName name="IP_MAIN_PERIOD_REALIZ_DATE">ИП!$P$11:$P$13</definedName>
    <definedName name="IP_MAIN_PR_IP_CHANGE_DATE">ИП!$X$11:$X$13</definedName>
    <definedName name="IP_MAIN_PR_IP_DATE">ИП!$T$11:$T$13</definedName>
    <definedName name="IP_MAIN_START_DATE">ИП!$N$11:$N$13</definedName>
    <definedName name="IP_QRE_ADD_HL_CLAIM_COLUMN_MARKER">'ИП. КНЭ'!$G$7</definedName>
    <definedName name="IP_QRE_ADD_HL_COLUMN_MARKER">'ИП. КНЭ'!$G$8</definedName>
    <definedName name="IP_QRE_DELETE_HL_COLUMN_MARKER">'ИП. КНЭ'!$E$8</definedName>
    <definedName name="IP_QRE_LIST_IP_ID">'ИП. КНЭ'!$A$18:$A$20</definedName>
    <definedName name="IP_QRE_NUM_COLUMN_MARKER">'ИП. КНЭ'!$F$8</definedName>
    <definedName name="IP_QRE_OTKO_FEATURES_BLOCK">'ИП. КНЭ'!$DY$8</definedName>
    <definedName name="IP_QRE_VOTV_FEATURES_BLOCK">'ИП. КНЭ'!$CY$8:$DX$8</definedName>
    <definedName name="IP_QRE_VSNA_FEATURES_BLOCK">'ИП. КНЭ'!$BT$8:$CX$8</definedName>
    <definedName name="IP_QRE_WARM_FEATURES_BLOCK">'ИП. КНЭ'!$O$8:$BS$8</definedName>
    <definedName name="IST_TE_ID">TEHSHEET!$E$64</definedName>
    <definedName name="kind_group_rates">TEHSHEET!$X$2:$X$14</definedName>
    <definedName name="kind_group_rates_load">TEHSHEET!$AP$2:$AP$11</definedName>
    <definedName name="kind_group_rates_load_ETS">TEHSHEET!$AP$2:$AP$11</definedName>
    <definedName name="kind_group_rates_load_filter">TEHSHEET!$AQ$2:$AQ$11</definedName>
    <definedName name="kind_group_rates_load_filter_ETS">TEHSHEET!$AQ$2:$AQ$11</definedName>
    <definedName name="kind_of_activity_WARM">TEHSHEET!$N$2:$N$8</definedName>
    <definedName name="kind_of_cons">TEHSHEET!$R$2:$R$6</definedName>
    <definedName name="kind_of_control_method">TEHSHEET!$K$2:$K$5</definedName>
    <definedName name="kind_of_control_method_filter">TEHSHEET!$L$2:$L$5</definedName>
    <definedName name="kind_of_data_type">TEHSHEET!$P$2:$P$3</definedName>
    <definedName name="kind_of_diameters">TEHSHEET!$T$2:$T$6</definedName>
    <definedName name="kind_of_diameters2">TEHSHEET!$AU$2:$AU$8</definedName>
    <definedName name="kind_of_diff">TEHSHEET!$AS$2:$AS$4</definedName>
    <definedName name="kind_of_fuel">TEHSHEET!$AK$2:$AK$9</definedName>
    <definedName name="kind_of_fuels">TEHSHEET!$BB$2:$BB$29</definedName>
    <definedName name="kind_of_heat_transfer">TEHSHEET!$O$2:$O$12</definedName>
    <definedName name="kind_of_heat_transfer2">TEHSHEET!$AH$2:$AH$7</definedName>
    <definedName name="kind_of_heat_transfer3">TEHSHEET!$AI$2:$AI$3</definedName>
    <definedName name="kind_of_load">TEHSHEET!$U$2:$U$7</definedName>
    <definedName name="kind_of_load2">TEHSHEET!$U$2:$U$4</definedName>
    <definedName name="kind_of_load3">TEHSHEET!$AF$2:$AF$5</definedName>
    <definedName name="kind_of_load4">TEHSHEET!$U$2:$U$5</definedName>
    <definedName name="kind_of_NDS">TEHSHEET!$H$2:$H$7</definedName>
    <definedName name="kind_of_NDS_tariff">TEHSHEET!$H$10:$H$11</definedName>
    <definedName name="kind_of_NDS_tariff_people">TEHSHEET!$H$16:$H$17</definedName>
    <definedName name="kind_of_nets">TEHSHEET!$S$2:$S$4</definedName>
    <definedName name="kind_of_org_type">TEHSHEET!$AZ$2:$AZ$5</definedName>
    <definedName name="kind_of_power_te_unit">TEHSHEET!$J$11:$J$12</definedName>
    <definedName name="kind_of_publication">TEHSHEET!$G$2:$G$3</definedName>
    <definedName name="kind_of_purchase_method">TEHSHEET!$K$11:$K$13</definedName>
    <definedName name="kind_of_scheme_in">TEHSHEET!$Q$2:$Q$5</definedName>
    <definedName name="kind_of_scheme_in2">TEHSHEET!$Q$3:$Q$5</definedName>
    <definedName name="kind_of_tariff_unit">TEHSHEET!$J$7:$J$8</definedName>
    <definedName name="kind_of_unit">TEHSHEET!$J$2:$J$4</definedName>
    <definedName name="kind_of_volume_te_unit">TEHSHEET!$J$15:$J$16</definedName>
    <definedName name="kind_of_zak">TEHSHEET!$AM$2:$AM$7</definedName>
    <definedName name="KNE_NAME_FORM">DATA_FORMS!$C$8</definedName>
    <definedName name="kpp">Титульный!$F$32</definedName>
    <definedName name="LINK_RANGE">REESTR_LINK!$B$2:$B$3</definedName>
    <definedName name="List_H">TEHSHEET!$AW$2:$AW$25</definedName>
    <definedName name="List_M">TEHSHEET!$AX$2:$AX$61</definedName>
    <definedName name="LIST_MR_MO_OKTMO">REESTR_MO!$A$2:$D$709</definedName>
    <definedName name="LIST_MR_MO_OKTMO_FILTER">REESTR_MO_FILTER!$A$2:$D$708</definedName>
    <definedName name="ListForms">modSheetMain!$A:$A</definedName>
    <definedName name="logical">TEHSHEET!$D$2:$D$3</definedName>
    <definedName name="MONTH">TEHSHEET!$E$2:$E$13</definedName>
    <definedName name="MONTH_IP_LIST">TEHSHEET!$BF$2:$BF$13</definedName>
    <definedName name="nalog">Титульный!$F$35</definedName>
    <definedName name="name_rates_4">TEHSHEET!$AA$2:$AA$3</definedName>
    <definedName name="name_rates_4_filter">TEHSHEET!$AB$2:$AB$3</definedName>
    <definedName name="name_rates_8">TEHSHEET!$AC$2:$AC$4</definedName>
    <definedName name="name_rates_8_filter">TEHSHEET!$AD$2:$AD$4</definedName>
    <definedName name="NameTemplatesInListMO">TEHSHEET!$K$45</definedName>
    <definedName name="NameTemplatesInTitle">TEHSHEET!$J$45</definedName>
    <definedName name="NameTemplatesInTitleList">TEHSHEET!$J$46:$J$53</definedName>
    <definedName name="NTAR_ID">TEHSHEET!$E$61</definedName>
    <definedName name="org">Титульный!$F$29</definedName>
    <definedName name="Org_Address">Титульный!$F$62:$F$62</definedName>
    <definedName name="ORG_END_DATE">TEHSHEET!$F$29</definedName>
    <definedName name="ORG_INFO_DATE_OGRN">'Общая информация об организации'!$F$17</definedName>
    <definedName name="ORG_INFO_DATE_PARKING">'Общая информация об организации'!$G$4</definedName>
    <definedName name="ORG_INFO_DATE_UNI_TS">'Общая информация об организации'!$F$21</definedName>
    <definedName name="ORG_INFO_EMAIL">'Общая информация об организации'!$F$43</definedName>
    <definedName name="ORG_INFO_ET">'Общая информация об организации'!$F$20:$F$23</definedName>
    <definedName name="ORG_INFO_FLAG_INVEST">'Общая информация об организации'!$F$50</definedName>
    <definedName name="ORG_INFO_NAME_FORM">DATA_FORMS!$C$4</definedName>
    <definedName name="ORG_INFO_P_NOTE_MAIN">DATA_NPA!$N$3</definedName>
    <definedName name="ORG_INFO_RESP_EMAIL">'Общая информация об организации'!$F$31</definedName>
    <definedName name="ORG_INFO_URL">'Общая информация об организации'!$F$42</definedName>
    <definedName name="Org_main">Титульный!$F$63</definedName>
    <definedName name="ORG_START_DATE">TEHSHEET!$E$29</definedName>
    <definedName name="ORG_TERRITORY_FIRST_MO">'Сведения по территориям'!$G$12</definedName>
    <definedName name="ORG_TERRITORY_FLAG_INTERNET">'Сведения по территориям'!$J$11:$J$13</definedName>
    <definedName name="ORG_TERRITORY_LINK">'Сведения по территориям'!$K$11:$K$13</definedName>
    <definedName name="ORG_TERRITORY_NAME_COL">'Сведения по территориям'!$G$1:$I$1</definedName>
    <definedName name="ORG_TERRITORY_POINT_NUMBER_1">'Сведения по территориям'!$A:$A</definedName>
    <definedName name="ORG_VD_EM">'Общая информация по ВД'!$K$11:$K$13</definedName>
    <definedName name="ORG_VD_FIRST_ROW">'Общая информация по ВД'!$12:$12</definedName>
    <definedName name="ORG_VD_FIRST_SYSTEM">'Общая информация по ВД'!$E$12</definedName>
    <definedName name="ORG_VD_SYSTEM">'Общая информация по ВД'!$E$11:$E$13</definedName>
    <definedName name="ORG_VD_TKO_ADD_HL_ACTIVITY_COLUMN_MARKER">'Виды объектов'!$E$9</definedName>
    <definedName name="ORG_VD_TKO_ADD_HL_TYPE_OBJECT_COLUMN_MARKER">'Виды объектов'!$H$9</definedName>
    <definedName name="ORG_VD_TKO_DEL_HL_ACTIVITY_COLUMN_MARKER">'Виды объектов'!$C$9</definedName>
    <definedName name="ORG_VD_TKO_DEL_HL_TYPE_OBJECT_COLUMN_MARKER">'Виды объектов'!$F$9</definedName>
    <definedName name="ORG_VD_TKO_VD">'Виды объектов'!$E$13:$E$16</definedName>
    <definedName name="ORG_VD_TKO_VD_ID">'Виды объектов'!$O$13:$O$16</definedName>
    <definedName name="ORG_VD_VD">'Общая информация по ВД'!$F$11:$F$13</definedName>
    <definedName name="ORG_VD_VD_ID">'Общая информация по ВД'!$AM$11:$AM$13</definedName>
    <definedName name="OTKO_FIN_SRC_LIST">TEHSHEET!$BN$4:$BN$18</definedName>
    <definedName name="OTKO_FIN_SRC_VLD_LIST">TEHSHEET!$BN$39:$BN$48</definedName>
    <definedName name="OTKO_IP_EVENT_CI_STAGE_LIST">TEHSHEET!$BN$97:$BN$104</definedName>
    <definedName name="OTKO_IP_EVENT_GROUP_LIST">TEHSHEET!$BN$69:$BN$74</definedName>
    <definedName name="OTKO_IP_EVENT_TYPE_LIST">TEHSHEET!$BN$108</definedName>
    <definedName name="otv_lico_name">Титульный!$F$65:$F$68</definedName>
    <definedName name="P_T_TERMS_LINK">Договоры!$F$12:$F$22</definedName>
    <definedName name="pCng_P_T_TERMS_1">Договоры!$E$14:$E$15</definedName>
    <definedName name="pCng_P_T_TERMS_2">Договоры!$E$17:$E$18</definedName>
    <definedName name="pCng_P_T_TERMS_3">Договоры!$E$21:$E$22</definedName>
    <definedName name="pCng_P_T_TERMS_4">Договоры!$E$25:$E$26</definedName>
    <definedName name="pDel_CHANGE_INFO">'Сведения об изменении'!$C$12:$C$13</definedName>
    <definedName name="pDel_Comm">Комментарии!$C$11:$C$12</definedName>
    <definedName name="pDel_DIFFERENTIATION_AREA">Дифференциация!$G$12:$G$16</definedName>
    <definedName name="pDel_DIFFERENTIATION_SYSTEM">Дифференциация!$K$12:$K$16</definedName>
    <definedName name="pDel_DIFFERENTIATION_VD">Дифференциация!$C$12:$C$16</definedName>
    <definedName name="pDel_ED">ЭД!$C$12:$C$13</definedName>
    <definedName name="pDel_IP_DETAILED_EVENT">'ИП. Детализация'!$G$13</definedName>
    <definedName name="pDel_IP_DETAILED_IST_FIN">'ИП. Детализация'!$Z$13</definedName>
    <definedName name="pDel_IP_DETAILED_OBJECT">'ИП. Детализация'!$N$13</definedName>
    <definedName name="pDel_IP_MAIN">ИП!$E$11:$E$13</definedName>
    <definedName name="pDel_IP_MAIN_PROPERTY">ИП!$Z$11:$Z$13</definedName>
    <definedName name="pDel_IP_QRE_CLAIM">'ИП. КНЭ'!$E$18:$E$20</definedName>
    <definedName name="pDel_List07">'Сведения об изменении'!$C$11:$C$13</definedName>
    <definedName name="pDel_LT_AREA">'Список территорий'!$C$12:$C$15</definedName>
    <definedName name="pDel_LT_MO">'Список территорий'!$D$11:$D$15</definedName>
    <definedName name="pDel_ORG_INFO">'Общая информация об организации'!$C$39:$C$49</definedName>
    <definedName name="pDel_ORG_TERRITORY">'Сведения по территориям'!$D$11:$D$13</definedName>
    <definedName name="pDel_ORG_VD">'Общая информация по ВД'!$C$11:$C$13</definedName>
    <definedName name="pDel_P_PROCEDURE_TC">'Порядок ТП'!$C$26:$C$40</definedName>
    <definedName name="pDel_P_T_TERMS">Договоры!$C$14:$C$26</definedName>
    <definedName name="pDel_R_B_Purch">'Сведения о закупках'!$C$13:$C$14</definedName>
    <definedName name="periodEnd">Титульный!$F$10</definedName>
    <definedName name="PeriodIsEmpty">TEHSHEET!$I$45</definedName>
    <definedName name="PeriodIsEmptyList">TEHSHEET!$I$46:$I$53</definedName>
    <definedName name="periodStart">Титульный!$F$9</definedName>
    <definedName name="pHeader_B_FHD">'Показатели ФХД'!$29:$29</definedName>
    <definedName name="pHeader_B_FHD_TKO">'ТКО. Показатели ФХД'!$14:$14</definedName>
    <definedName name="pHeader_B_FHD_TKO_TRANS">'ТКО. Транс. Показатели ФХД'!$14:$14</definedName>
    <definedName name="pHeader_B_KNE">'Показатели КНЭ'!$11:$11</definedName>
    <definedName name="pHeader_Q_LIMIT">Ограничения!$30:$30</definedName>
    <definedName name="pHeader_Q_PH">'Потребительские характеристики'!$13:$13</definedName>
    <definedName name="pHeader_Q_TP">ТП!$13:$13</definedName>
    <definedName name="pHeader_ver_B_FHD">'Показатели ФХД'!$C:$C</definedName>
    <definedName name="pHeader_ver_B_FHD_TKO">'ТКО. Показатели ФХД'!$C:$C</definedName>
    <definedName name="pHeader_ver_B_FHD_TKO_TRANS">'ТКО. Транс. Показатели ФХД'!$C:$C</definedName>
    <definedName name="pHeader_ver_B_KNE">'Показатели КНЭ'!$B:$B</definedName>
    <definedName name="pHeader_ver_P_PROCEDURE_TC">'Порядок ТП'!$A$21:$A$40</definedName>
    <definedName name="pHeader_ver_Q_LIMIT">Ограничения!$E:$E</definedName>
    <definedName name="pIns_B_FHD_1">'Показатели ФХД'!$F$40</definedName>
    <definedName name="pIns_B_FHD_2">'Показатели ФХД'!$F$72</definedName>
    <definedName name="pIns_B_FHD_3">'Показатели ФХД'!$F$102</definedName>
    <definedName name="pIns_B_FHD_4">'Показатели ФХД'!$F$120</definedName>
    <definedName name="pIns_B_FHD_5">'Показатели ФХД'!$F$123</definedName>
    <definedName name="pIns_B_FHD_6">'Показатели ФХД'!$F$126</definedName>
    <definedName name="pIns_B_FHD_DIFFERENTIATION">'Показатели ФХД'!$J$24</definedName>
    <definedName name="pIns_B_FHD_TKO_2">'ТКО. Показатели ФХД'!$F$34</definedName>
    <definedName name="pIns_B_FHD_TKO_DIFFERENTIATION">'ТКО. Показатели ФХД'!$J$9</definedName>
    <definedName name="pIns_B_FHD_TKO_TRANS_2">'ТКО. Транс. Показатели ФХД'!$F$29</definedName>
    <definedName name="pIns_B_FHD_TKO_TRANS_DIFFERENTIATION">'ТКО. Транс. Показатели ФХД'!$J$9</definedName>
    <definedName name="pIns_B_FHD20_DIFFERENTIATION">'Показатели ФХД &gt;20%'!$D$23</definedName>
    <definedName name="pIns_B_KNE_DIFFERENTIATION">'Показатели КНЭ'!$K$6</definedName>
    <definedName name="pIns_CHANGE_INFO">'Сведения об изменении'!$E$13</definedName>
    <definedName name="pIns_Comm">Комментарии!$E$12</definedName>
    <definedName name="pIns_ED">ЭД!$E$13</definedName>
    <definedName name="pIns_IP_DETAILED">'ИП. Детализация'!$F$14</definedName>
    <definedName name="pIns_IP_FIN_PLAN">'ИП. Финансовый план'!$K$8</definedName>
    <definedName name="pIns_IP_MAIN">ИП!$G$13</definedName>
    <definedName name="pIns_IP_QRE">'ИП. КНЭ'!$F$21</definedName>
    <definedName name="pIns_List07">'Сведения об изменении'!$E$13</definedName>
    <definedName name="pIns_LT_AREA">'Список территорий'!$G$15</definedName>
    <definedName name="pIns_ORG_INFO_1">'Общая информация об организации'!$E$41</definedName>
    <definedName name="pIns_ORG_INFO_2">'Общая информация об организации'!$E$49</definedName>
    <definedName name="pIns_ORG_TERRITORY">'Сведения по территориям'!$G$13</definedName>
    <definedName name="pIns_ORG_VD_1">'Общая информация по ВД'!$E$13</definedName>
    <definedName name="pIns_ORG_VD_2">'Общая информация по ВД'!$F$13</definedName>
    <definedName name="pIns_ORG_VD_TKO_1">'Виды объектов'!$E$16</definedName>
    <definedName name="pIns_P_PROCEDURE_TC_1">'Порядок ТП'!$E$27</definedName>
    <definedName name="pIns_P_PROCEDURE_TC_2">'Порядок ТП'!$E$30</definedName>
    <definedName name="pIns_P_PROCEDURE_TC_3">'Порядок ТП'!$E$34</definedName>
    <definedName name="pIns_P_PROCEDURE_TC_4">'Порядок ТП'!$E$37</definedName>
    <definedName name="pIns_P_PROCEDURE_TC_5">'Порядок ТП'!$E$40</definedName>
    <definedName name="pIns_P_T_TERMS_1">Договоры!$E$15</definedName>
    <definedName name="pIns_P_T_TERMS_2">Договоры!$E$18</definedName>
    <definedName name="pIns_P_T_TERMS_3">Договоры!$E$22</definedName>
    <definedName name="pIns_P_T_TERMS_4">Договоры!$E$26</definedName>
    <definedName name="pIns_PT_VTAR_A">'ТС. Т-ТЭ | &gt;=25МВт'!$T$57</definedName>
    <definedName name="pIns_PT_VTAR_A_COLDVSNA">'ХВС. Т-пит'!$T$53</definedName>
    <definedName name="pIns_PT_VTAR_A_HOTVSNA">'ГВС. Т-гор.вода'!$T$53</definedName>
    <definedName name="pIns_PT_VTAR_A_VOTV">'ВО. Т-во'!$T$53</definedName>
    <definedName name="pIns_PT_VTAR_B">'ТС. Т-ТЭ | ТСО'!$T$57</definedName>
    <definedName name="pIns_PT_VTAR_B_COLDVSNA">'ХВС. Т-тех'!$T$53</definedName>
    <definedName name="pIns_PT_VTAR_B_HOTVSNA">'ГВС. Т-транс'!$T$53</definedName>
    <definedName name="pIns_PT_VTAR_B_VOTV">'ВО. Т-транс'!$T$53</definedName>
    <definedName name="pIns_PT_VTAR_C">'ТС. Т-ТН'!$T$57</definedName>
    <definedName name="pIns_PT_VTAR_C_COLDVSNA">'ХВС. Т-транс'!$T$53</definedName>
    <definedName name="pIns_PT_VTAR_C_HOTVSNA">'ГВС. Т-подкл'!$T$63</definedName>
    <definedName name="pIns_PT_VTAR_C_VOTV">'ВО. Т-подкл'!$T$63</definedName>
    <definedName name="pIns_PT_VTAR_D">'ТС. Т-гор.вода'!$V$65</definedName>
    <definedName name="pIns_PT_VTAR_D_COLDVSNA">'ХВС. Т-подвоз'!$T$53</definedName>
    <definedName name="pIns_PT_VTAR_E_COLDVSNA">'ХВС. Т-подкл'!$T$63</definedName>
    <definedName name="pIns_PT_VTAR_E1">'ТС. Т-передача ТЭ'!$T$57</definedName>
    <definedName name="pIns_PT_VTAR_E2">'ТС. Т-передача ТН'!$T$57</definedName>
    <definedName name="pIns_PT_VTAR_F">'ТС. Резерв мощности'!$T$57</definedName>
    <definedName name="pIns_PT_VTAR_G">'ТС. Т-подкл'!$T$62</definedName>
    <definedName name="pIns_Q_LIMIT_1">Ограничения!$E$33</definedName>
    <definedName name="pIns_Q_LIMIT_2">Ограничения!$E$35</definedName>
    <definedName name="pIns_Q_LIMIT_3">Ограничения!$E$37</definedName>
    <definedName name="pIns_Q_LIMIT_4">Ограничения!$E$39</definedName>
    <definedName name="pIns_Q_LIMIT_DIFFERENTIATION">Ограничения!$K$25</definedName>
    <definedName name="pIns_Q_PH_DIFFERENTIATION">'Потребительские характеристики'!$K$8</definedName>
    <definedName name="pIns_Q_TP_1">ТП!$E$22</definedName>
    <definedName name="pIns_Q_TP_DIFFERENTIATION">ТП!$I$8</definedName>
    <definedName name="pIns_R_B_Purch_1">'Сведения о закупках'!$E$14</definedName>
    <definedName name="pIns_ROIV_CASE_case">'Дела об установлении тарифов'!$F$11</definedName>
    <definedName name="pIns_ROIV_INFO_phone">'Орган регулирования'!$E$21</definedName>
    <definedName name="pIns_ROIV_ORG_org">'Перечень организаций'!$F$10</definedName>
    <definedName name="pIns_ROIV_OTV_org">'Привлечение к ответственности'!$G$13</definedName>
    <definedName name="pIns_ver_COLDVSNA_TARIFF_A_COLDVSNA">'ХВС. Т-пит'!$AJ$37</definedName>
    <definedName name="pIns_ver_COLDVSNA_TARIFF_B_COLDVSNA">'ХВС. Т-тех'!$AJ$37</definedName>
    <definedName name="pIns_ver_COLDVSNA_TARIFF_C_COLDVSNA">'ХВС. Т-транс'!$AJ$37</definedName>
    <definedName name="pIns_ver_COLDVSNA_TARIFF_D_COLDVSNA">'ХВС. Т-подвоз'!$AJ$37</definedName>
    <definedName name="pIns_ver_COLDVSNA_TARIFF_E_COLDVSNA">'ХВС. Т-подкл'!$BB$41</definedName>
    <definedName name="pIns_ver_HEAT_TARIFF_A">'ТС. Т-ТЭ | &gt;=25МВт'!$AL$39</definedName>
    <definedName name="pIns_ver_HEAT_TARIFF_B">'ТС. Т-ТЭ | ТСО'!$AL$39</definedName>
    <definedName name="pIns_ver_HEAT_TARIFF_C">'ТС. Т-ТН'!$AL$39</definedName>
    <definedName name="pIns_ver_HEAT_TARIFF_D">'ТС. Т-гор.вода'!$AP$43</definedName>
    <definedName name="pIns_ver_HEAT_TARIFF_E1">'ТС. Т-передача ТЭ'!$AL$39</definedName>
    <definedName name="pIns_ver_HEAT_TARIFF_E2">'ТС. Т-передача ТН'!$AL$39</definedName>
    <definedName name="pIns_ver_HEAT_TARIFF_F">'ТС. Резерв мощности'!$AL$39</definedName>
    <definedName name="pIns_ver_HEAT_TARIFF_G">'ТС. Т-подкл'!$AT$40</definedName>
    <definedName name="pIns_ver_HOTVSNA_TARIFF_A_HOTVSNA">'ГВС. Т-гор.вода'!$AJ$37</definedName>
    <definedName name="pIns_ver_HOTVSNA_TARIFF_B_HOTVSNA">'ГВС. Т-транс'!$AJ$37</definedName>
    <definedName name="pIns_ver_HOTVSNA_TARIFF_C_HOTVSNA">'ГВС. Т-подкл'!$BB$41</definedName>
    <definedName name="pIns_ver_VOTV_TARIFF_A_VOTV">'ВО. Т-во'!$AJ$37</definedName>
    <definedName name="pIns_ver_VOTV_TARIFF_B_VOTV">'ВО. Т-транс'!$AJ$37</definedName>
    <definedName name="pIns_ver_VOTV_TARIFF_C_VOTV">'ВО. Т-подкл'!$BB$41</definedName>
    <definedName name="pNote_LIMIT">Ограничения!$K$26</definedName>
    <definedName name="pNote_Q_PH">'Потребительские характеристики'!$K$9</definedName>
    <definedName name="PROCEDURE_TC_NAME_FORM">DATA_FORMS!$C$30</definedName>
    <definedName name="PT_ADD_HL_CS_COLUMN_MARKER">'Перечень тарифов'!$R$8</definedName>
    <definedName name="PT_ADD_HL_IST_TE_COLUMN_MARKER">'Перечень тарифов'!$V$8</definedName>
    <definedName name="PT_ADD_HL_NTAR_COLUMN_MARKER">'Перечень тарифов'!$J$8</definedName>
    <definedName name="PT_ADD_HL_TER_COLUMN_MARKER">'Перечень тарифов'!$N$8</definedName>
    <definedName name="PT_ADD_HL_VTAR_COLUMN_MARKER">'Перечень тарифов'!$E$8</definedName>
    <definedName name="pt_cs_1">'ТС. Т-ТЭ | &gt;=25МВт'!$45:$54</definedName>
    <definedName name="pt_cs_10">'ХВС. Т-тех'!$43:$50</definedName>
    <definedName name="pt_cs_11">'ХВС. Т-транс'!$43:$50</definedName>
    <definedName name="pt_cs_12">'ХВС. Т-подвоз'!$43:$50</definedName>
    <definedName name="pt_cs_13">'ХВС. Т-подкл'!$48:$60</definedName>
    <definedName name="pt_cs_14">'ГВС. Т-гор.вода'!$43:$50</definedName>
    <definedName name="pt_cs_15">'ГВС. Т-транс'!$43:$50</definedName>
    <definedName name="pt_cs_16">'ГВС. Т-подкл'!$48:$60</definedName>
    <definedName name="pt_cs_17">'ВО. Т-во'!$43:$50</definedName>
    <definedName name="pt_cs_18">'ВО. Т-транс'!$43:$50</definedName>
    <definedName name="pt_cs_19">'ВО. Т-подкл'!$48:$60</definedName>
    <definedName name="pt_cs_2">'ТС. Т-ТЭ | ТСО'!$45:$54</definedName>
    <definedName name="pt_cs_3">'ТС. Т-ТН'!$45:$54</definedName>
    <definedName name="pt_cs_4">'ТС. Т-гор.вода'!$51:$62</definedName>
    <definedName name="pt_cs_4i">'Т-ТЭ | индикат'!$21:$30</definedName>
    <definedName name="pt_cs_4p">'Т-ТЭ | предел'!$21:$30</definedName>
    <definedName name="pt_cs_5">'ТС. Т-передача ТЭ'!$45:$54</definedName>
    <definedName name="pt_cs_6">'ТС. Т-передача ТН'!$45:$54</definedName>
    <definedName name="pt_cs_7">'ТС. Резерв мощности'!$45:$54</definedName>
    <definedName name="pt_cs_8">'ТС. Т-подкл'!$47:$58</definedName>
    <definedName name="pt_cs_9">'ХВС. Т-пит'!$43:$50</definedName>
    <definedName name="PT_DEL_HL_CS_COLUMN_MARKER">'Перечень тарифов'!$P$8</definedName>
    <definedName name="PT_DEL_HL_IST_TE_COLUMN_MARKER">'Перечень тарифов'!$T$8</definedName>
    <definedName name="PT_DEL_HL_NTAR_COLUMN_MARKER">'Перечень тарифов'!$H$8</definedName>
    <definedName name="PT_DEL_HL_TER_COLUMN_MARKER">'Перечень тарифов'!$L$8</definedName>
    <definedName name="PT_DEL_HL_VTAR_COLUMN_MARKER">'Перечень тарифов'!$C$8</definedName>
    <definedName name="PT_DIAMETERS_2_LIST">TEHSHEET!$AZ$76:$AZ$82</definedName>
    <definedName name="PT_DIAMETERS_LIST">TEHSHEET!$AZ$60:$AZ$64</definedName>
    <definedName name="PT_DIFFERENTIATION_CS">'Перечень тарифов'!$AL$12:$AL$122</definedName>
    <definedName name="PT_DIFFERENTIATION_CS_ID">'Перечень тарифов'!$AF$12:$AF$122</definedName>
    <definedName name="PT_DIFFERENTIATION_IST_TE">'Перечень тарифов'!$AM$12:$AM$122</definedName>
    <definedName name="PT_DIFFERENTIATION_IST_TE_ID">'Перечень тарифов'!$AG$12:$AG$122</definedName>
    <definedName name="PT_DIFFERENTIATION_NTAR">'Перечень тарифов'!$AJ$12:$AJ$122</definedName>
    <definedName name="PT_DIFFERENTIATION_NTAR_ID">'Перечень тарифов'!$AD$12:$AD$122</definedName>
    <definedName name="PT_DIFFERENTIATION_NUM_CS">'Перечень тарифов'!$AP$12:$AP$122</definedName>
    <definedName name="PT_DIFFERENTIATION_NUM_IST_TE">'Перечень тарифов'!$AQ$12:$AQ$122</definedName>
    <definedName name="PT_DIFFERENTIATION_NUM_NTAR">'Перечень тарифов'!$AN$12:$AN$122</definedName>
    <definedName name="PT_DIFFERENTIATION_NUM_TER">'Перечень тарифов'!$AO$12:$AO$122</definedName>
    <definedName name="PT_DIFFERENTIATION_TER">'Перечень тарифов'!$AK$12:$AK$122</definedName>
    <definedName name="PT_DIFFERENTIATION_TER_ID">'Перечень тарифов'!$AE$12:$AE$122</definedName>
    <definedName name="PT_DIFFERENTIATION_VDET">'Перечень тарифов'!$AI$12:$AI$122</definedName>
    <definedName name="PT_DIFFERENTIATION_VTAR">'Перечень тарифов'!$AH$12:$AH$122</definedName>
    <definedName name="PT_DIFFERENTIATION_VTAR_ID">'Перечень тарифов'!$AC$12:$AC$122</definedName>
    <definedName name="PT_FLAG_CS_COLUMN_MARKER">'Перечень тарифов'!$O$8</definedName>
    <definedName name="PT_FLAG_IST_TE_COLUMN_MARKER">'Перечень тарифов'!$S$8</definedName>
    <definedName name="PT_FLAG_TER_COLUMN_MARKER">'Перечень тарифов'!$K$8</definedName>
    <definedName name="PT_FLAG_VTAR_COLUMN_MARKER">'Перечень тарифов'!$F$8</definedName>
    <definedName name="PT_GROUP_CONSUMER_LIST">TEHSHEET!$AZ$29:$AZ$33</definedName>
    <definedName name="pt_ist_te_1">'ТС. Т-ТЭ | &gt;=25МВт'!$46:$53</definedName>
    <definedName name="pt_ist_te_2">'ТС. Т-ТЭ | ТСО'!$46:$53</definedName>
    <definedName name="pt_ist_te_3">'ТС. Т-ТН'!$46:$53</definedName>
    <definedName name="pt_ist_te_4">'ТС. Т-гор.вода'!$52:$61</definedName>
    <definedName name="pt_ist_te_4i">'Т-ТЭ | индикат'!$22:$29</definedName>
    <definedName name="pt_ist_te_4p">'Т-ТЭ | предел'!$22:$29</definedName>
    <definedName name="pt_ist_te_5">'ТС. Т-передача ТЭ'!$46:$53</definedName>
    <definedName name="pt_ist_te_6">'ТС. Т-передача ТН'!$46:$53</definedName>
    <definedName name="pt_ist_te_7">'ТС. Резерв мощности'!$46:$53</definedName>
    <definedName name="pt_ist_te_8">'ТС. Т-подкл'!$48:$57</definedName>
    <definedName name="PT_LOAD_LIST">TEHSHEET!$AZ$67:$AZ$72</definedName>
    <definedName name="PT_NETS_LIST">TEHSHEET!$AZ$55:$AZ$57</definedName>
    <definedName name="pt_ntar_1">'ТС. Т-ТЭ | &gt;=25МВт'!$43:$56</definedName>
    <definedName name="pt_ntar_10">'ХВС. Т-тех'!$41:$52</definedName>
    <definedName name="pt_ntar_11">'ХВС. Т-транс'!$41:$52</definedName>
    <definedName name="pt_ntar_12">'ХВС. Т-подвоз'!$41:$52</definedName>
    <definedName name="pt_ntar_13">'ХВС. Т-подкл'!$46:$62</definedName>
    <definedName name="pt_ntar_14">'ГВС. Т-гор.вода'!$41:$52</definedName>
    <definedName name="pt_ntar_15">'ГВС. Т-транс'!$41:$52</definedName>
    <definedName name="pt_ntar_16">'ГВС. Т-подкл'!$46:$62</definedName>
    <definedName name="pt_ntar_17">'ВО. Т-во'!$41:$52</definedName>
    <definedName name="pt_ntar_18">'ВО. Т-транс'!$41:$52</definedName>
    <definedName name="pt_ntar_19">'ВО. Т-подкл'!$46:$62</definedName>
    <definedName name="pt_ntar_2">'ТС. Т-ТЭ | ТСО'!$43:$56</definedName>
    <definedName name="pt_ntar_3">'ТС. Т-ТН'!$43:$56</definedName>
    <definedName name="pt_ntar_4">'ТС. Т-гор.вода'!$49:$64</definedName>
    <definedName name="pt_ntar_4i">'Т-ТЭ | индикат'!$19:$32</definedName>
    <definedName name="pt_ntar_4p">'Т-ТЭ | предел'!$19:$32</definedName>
    <definedName name="pt_ntar_5">'ТС. Т-передача ТЭ'!$43:$56</definedName>
    <definedName name="pt_ntar_6">'ТС. Т-передача ТН'!$43:$56</definedName>
    <definedName name="pt_ntar_7">'ТС. Резерв мощности'!$43:$56</definedName>
    <definedName name="pt_ntar_8">'ТС. Т-подкл'!$45:$61</definedName>
    <definedName name="pt_ntar_9">'ХВС. Т-пит'!$41:$52</definedName>
    <definedName name="PT_P_FORM_COLDVSNA_4_NAME_FORM">DATA_FORMS!$C$17</definedName>
    <definedName name="PT_P_FORM_COLDVSNA_5_NAME_FORM">DATA_FORMS!$C$18</definedName>
    <definedName name="PT_P_FORM_HEAT_21_NAME_FORM">DATA_FORMS!$C$13</definedName>
    <definedName name="PT_P_FORM_HEAT_22_NAME_FORM">DATA_FORMS!$C$14</definedName>
    <definedName name="PT_P_FORM_HEAT_4_NAME_FORM">DATA_FORMS!$C$9</definedName>
    <definedName name="PT_P_FORM_HEAT_5_NAME_FORM">DATA_FORMS!$C$10</definedName>
    <definedName name="PT_P_FORM_HEAT_6_NAME_FORM">DATA_FORMS!$C$11</definedName>
    <definedName name="PT_P_FORM_HEAT_7_NAME_FORM">DATA_FORMS!$C$12</definedName>
    <definedName name="PT_P_FORM_HOTVSNA_4_NAME_FORM">DATA_FORMS!$C$21</definedName>
    <definedName name="PT_P_FORM_HOTVSNA_5_NAME_FORM">DATA_FORMS!$C$22</definedName>
    <definedName name="PT_P_FORM_VOTV_4_NAME_FORM">DATA_FORMS!$C$25</definedName>
    <definedName name="PT_P_FORM_VOTV_5_NAME_FORM">DATA_FORMS!$C$26</definedName>
    <definedName name="PT_R_FORM_COLDVSNA_16_NAME_FORM">DATA_FORMS!$C$19</definedName>
    <definedName name="PT_R_FORM_COLDVSNA_17_NAME_FORM">DATA_FORMS!$C$20</definedName>
    <definedName name="PT_R_FORM_HEAT_21_NAME_FORM">DATA_FORMS!$C$13</definedName>
    <definedName name="PT_R_FORM_HEAT_22_NAME_FORM">DATA_FORMS!$C$14</definedName>
    <definedName name="PT_R_FORM_HEAT_23_NAME_FORM">DATA_FORMS!$C$15</definedName>
    <definedName name="PT_R_FORM_HEAT_24_NAME_FORM">DATA_FORMS!$C$16</definedName>
    <definedName name="PT_R_FORM_HOTVSNA_16_NAME_FORM">DATA_FORMS!$C$23</definedName>
    <definedName name="PT_R_FORM_HOTVSNA_17_NAME_FORM">DATA_FORMS!$C$24</definedName>
    <definedName name="PT_R_FORM_VOTV_16_NAME_FORM">DATA_FORMS!$C$27</definedName>
    <definedName name="PT_R_FORM_VOTV_17_NAME_FORM">DATA_FORMS!$C$28</definedName>
    <definedName name="PT_SCHEME_LIST">TEHSHEET!$AZ$36:$AZ$39</definedName>
    <definedName name="pt_ter_1">'ТС. Т-ТЭ | &gt;=25МВт'!$44:$55</definedName>
    <definedName name="pt_ter_10">'ХВС. Т-тех'!$42:$51</definedName>
    <definedName name="pt_ter_11">'ХВС. Т-транс'!$42:$51</definedName>
    <definedName name="pt_ter_12">'ХВС. Т-подвоз'!$42:$51</definedName>
    <definedName name="pt_ter_13">'ХВС. Т-подкл'!$47:$61</definedName>
    <definedName name="pt_ter_14">'ГВС. Т-гор.вода'!$42:$51</definedName>
    <definedName name="pt_ter_15">'ГВС. Т-транс'!$42:$51</definedName>
    <definedName name="pt_ter_16">'ГВС. Т-подкл'!$47:$61</definedName>
    <definedName name="pt_ter_17">'ВО. Т-во'!$42:$51</definedName>
    <definedName name="pt_ter_18">'ВО. Т-транс'!$42:$51</definedName>
    <definedName name="pt_ter_19">'ВО. Т-подкл'!$47:$61</definedName>
    <definedName name="pt_ter_2">'ТС. Т-ТЭ | ТСО'!$44:$55</definedName>
    <definedName name="pt_ter_3">'ТС. Т-ТН'!$44:$55</definedName>
    <definedName name="pt_ter_4">'ТС. Т-гор.вода'!$50:$63</definedName>
    <definedName name="pt_ter_4i">'Т-ТЭ | индикат'!$20:$31</definedName>
    <definedName name="pt_ter_4p">'Т-ТЭ | предел'!$20:$31</definedName>
    <definedName name="pt_ter_5">'ТС. Т-передача ТЭ'!$44:$55</definedName>
    <definedName name="pt_ter_6">'ТС. Т-передача ТН'!$44:$55</definedName>
    <definedName name="pt_ter_7">'ТС. Резерв мощности'!$44:$55</definedName>
    <definedName name="pt_ter_8">'ТС. Т-подкл'!$46:$59</definedName>
    <definedName name="pt_ter_9">'ХВС. Т-пит'!$42:$51</definedName>
    <definedName name="PT_TN_LIST">TEHSHEET!$AZ$42:$AZ$52</definedName>
    <definedName name="PT_VDET_COLUMN_MARKER">'Перечень тарифов'!$G$8</definedName>
    <definedName name="PURCH_NAME_FORM">DATA_FORMS!$C$29</definedName>
    <definedName name="Q_LIMIT_CheckC">Ограничения!$E$32:$K$39</definedName>
    <definedName name="Q_LIMIT_diff_1">Ограничения!$I$26:$J$28</definedName>
    <definedName name="Q_LIMIT_p3">Ограничения!$F$36:$K$36</definedName>
    <definedName name="Q_LIMIT_p4">Ограничения!$F$38:$K$38</definedName>
    <definedName name="Q_PH_diff_1">'Потребительские характеристики'!$I$9:$J$11</definedName>
    <definedName name="Q_TP_COUNT_REFUSAL">ТП!$H$17:$H$17</definedName>
    <definedName name="Q_TP_diff_1">ТП!$H$9:$H$11</definedName>
    <definedName name="QRE_METHOD_LIST">TEHSHEET!$AZ$8:$AZ$10</definedName>
    <definedName name="QUARTER">TEHSHEET!$F$2:$F$5</definedName>
    <definedName name="REESTR_IP_RANGE">REESTR_IP!#REF!</definedName>
    <definedName name="REESTR_LINK_RANGE">REESTR_LINK!$A$2:$C$3</definedName>
    <definedName name="REESTR_VT_RANGE">REESTR_VT!$A$2:$B$11</definedName>
    <definedName name="REGION">TEHSHEET!$A$2:$A$87</definedName>
    <definedName name="region_name">Титульный!$F$7</definedName>
    <definedName name="RegulatoryPeriod">Титульный!$F$9:$F$10</definedName>
    <definedName name="ReportPeriod">Титульный!$F$9:$F$13</definedName>
    <definedName name="ROIV_CASE_ADD_HL_CASE_COLUMN_MARKER">'Дела об установлении тарифов'!$F$1</definedName>
    <definedName name="ROIV_CASE_DEL_HL_CASE_COLUMN_MARKER">'Дела об установлении тарифов'!$D$1</definedName>
    <definedName name="ROIV_CASE_NUM_CASE_COLUMN_MARKER">'Дела об установлении тарифов'!$E$1</definedName>
    <definedName name="ROIV_INFO_DEL_HL_PHONE_COLUMN_MARKER">'Орган регулирования'!$C$1</definedName>
    <definedName name="ROIV_INFO_NAME">'Орган регулирования'!$F$12</definedName>
    <definedName name="ROIV_INFO_NUM_PHONE_COLUMN_MARKER">'Орган регулирования'!$D$1</definedName>
    <definedName name="ROIV_ORG_DEL_HL_ORG_COLUMN_MARKER">'Перечень организаций'!$D$1</definedName>
    <definedName name="ROIV_ORG_INN_COLUMN_MARKER">'Перечень организаций'!$G$1</definedName>
    <definedName name="ROIV_ORG_KPP_COLUMN_MARKER">'Перечень организаций'!$H$1</definedName>
    <definedName name="ROIV_ORG_NAME_ORG_COLUMN_MARKER">'Перечень организаций'!$F$1</definedName>
    <definedName name="ROIV_ORG_NUM_ORG_COLUMN_MARKER">'Перечень организаций'!$E$1</definedName>
    <definedName name="ROIV_ORG_TECH_ORG_ID_COLUMN_MARKER">'Перечень организаций'!$A$1</definedName>
    <definedName name="ROIV_OTV_ADD_HL_DL_COLUMN_MARKER">'Привлечение к ответственности'!$L$1</definedName>
    <definedName name="ROIV_OTV_DEL_HL_DL_COLUMN_MARKER">'Привлечение к ответственности'!$J$1</definedName>
    <definedName name="ROIV_OTV_DEL_HL_ORG_COLUMN_MARKER">'Привлечение к ответственности'!$D$1</definedName>
    <definedName name="ROIV_OTV_INN_COLUMN_MARKER">'Привлечение к ответственности'!$I$1</definedName>
    <definedName name="ROIV_OTV_NAME_ORG_COLUMN_MARKER">'Привлечение к ответственности'!$H$1</definedName>
    <definedName name="ROIV_OTV_NUM_DL_COLUMN_MARKER">'Привлечение к ответственности'!$K$1</definedName>
    <definedName name="ROIV_OTV_NUM_ORG_COLUMN_MARKER">'Привлечение к ответственности'!$F$1</definedName>
    <definedName name="ROIV_OTV_TECH_ORG_ID_COLUMN_MARKER">'Привлечение к ответственности'!$A$1</definedName>
    <definedName name="SKI_number">TEHSHEET!$I$2:$I$21</definedName>
    <definedName name="StartDateList">TEHSHEET!$G$46:$G$53</definedName>
    <definedName name="TECH_ORG_ID">Титульный!$F$1</definedName>
    <definedName name="TEMPLATE_DATA_POINT">DATA_NPA!$T$11:$X$16</definedName>
    <definedName name="TEMPLATE_DATA_POINT_FHD">DATA_NPA!$T$18:$W$146</definedName>
    <definedName name="TEMPLATE_GROUP">TEHSHEET!$E$45</definedName>
    <definedName name="TEMPLATE_NAME_FORM_LIST">DATA_FORMS!$D$3:$H$35</definedName>
    <definedName name="TEMPLATE_NOTE_POINT">DATA_NPA!$Z$11:$AD$15</definedName>
    <definedName name="TEMPLATE_NOTE_POINT_FHD">DATA_NPA!$Z$18:$AD$146</definedName>
    <definedName name="TEMPLATE_NUMBER_FORM_LIST">DATA_FORMS!$D$2:$H$2</definedName>
    <definedName name="TEMPLATE_NUMBER_POINT_FHD">DATA_NPA!$O$18:$S$146</definedName>
    <definedName name="TEMPLATE_ORG_DATA_POINT">DATA_NPA!$Z$3:$AD$9</definedName>
    <definedName name="TEMPLATE_SPHERE">TEHSHEET!$E$36</definedName>
    <definedName name="TEMPLATE_SPHERE_LIST">DATA_FORMS!$D$1:$H$1</definedName>
    <definedName name="TEMPLATE_SPHERE_LIST_FOR_NOTE">DATA_NPA!$Z$2:$AD$2</definedName>
    <definedName name="TEMPLATE_SPHERE_LIST_FOR_NPA">DATA_NPA!$T$2:$X$2</definedName>
    <definedName name="TEMPLATE_SPHERE_RUS">TEHSHEET!$F$36</definedName>
    <definedName name="TEMPLATE_SPHERE_RUS_2">TEHSHEET!$G$36</definedName>
    <definedName name="TemplateState">TEHSHEET!$E$16</definedName>
    <definedName name="ter_1">'Список территорий'!$G$13:$I$13</definedName>
    <definedName name="TER_ID">TEHSHEET!$E$62</definedName>
    <definedName name="TERMS_LINK">Договоры!$F$12:$F$22</definedName>
    <definedName name="TERMS_NAME_FORM">DATA_FORMS!$C$5</definedName>
    <definedName name="TERMS_NUM_CONTRACT_COLUMN_MARKER">Договоры!$D$8</definedName>
    <definedName name="TERMS_P_1">DATA_NPA!$M$148</definedName>
    <definedName name="TERMS_TKO_TRANS_DATA">Договоры!$E$25:$F$26</definedName>
    <definedName name="TERRITORY_CheckC">'Список территорий'!$E$11:$I$15</definedName>
    <definedName name="TERRITORY_ID">TEHSHEET!$E$56</definedName>
    <definedName name="TERRITORY_LIST_ID">'Список территорий'!$F$11:$F$15</definedName>
    <definedName name="TERRITORY_MO_LIST">'Список территорий'!$H$11:$H$15</definedName>
    <definedName name="TERRITORY_MR_LIST">'Список территорий'!$G$11:$G$15</definedName>
    <definedName name="TERRITORY_NAME_COL">'Список территорий'!$G$1:$I$1</definedName>
    <definedName name="TERRITORY_POINT_NUMBER_1">'Список территорий'!$A:$A</definedName>
    <definedName name="TITLE_BUHG_FLAG">Титульный!$F$51</definedName>
    <definedName name="TITLE_CONNECTION_FLAG">Титульный!$F$47</definedName>
    <definedName name="TITLE_DATA_TYPE">Титульный!$F$15</definedName>
    <definedName name="TITLE_DATE_BUHG">Титульный!$F$52</definedName>
    <definedName name="TITLE_DATE_CHANGE">Титульный!$F$16</definedName>
    <definedName name="TITLE_DATE_CHANGE_PERIOD">Титульный!$F$17</definedName>
    <definedName name="TITLE_DATE_FIL">Титульный!$F$11</definedName>
    <definedName name="TITLE_DATE_PARKING">Титульный!$H$5</definedName>
    <definedName name="TITLE_DATE_PR">Титульный!$F$19</definedName>
    <definedName name="TITLE_DATE_PR_CHANGE">Титульный!$F$25</definedName>
    <definedName name="TITLE_DIFFERENTIATION_TYPE">Титульный!$F$39</definedName>
    <definedName name="TITLE_FIL_YEAR">Титульный!$F$12</definedName>
    <definedName name="TITLE_FLAG_DIFF_SELLER">Титульный!$F$44</definedName>
    <definedName name="TITLE_FLAG_INTERNET">Титульный!$F$37</definedName>
    <definedName name="TITLE_FLAG_IP">Титульный!$F$56</definedName>
    <definedName name="TITLE_FLAG_IP_DETAILED">Титульный!$F$58</definedName>
    <definedName name="TITLE_FLAG_NO_DIFF_COMPONENT">Титульный!$F$45</definedName>
    <definedName name="TITLE_FLAG_NOT_REG_PRICE">Титульный!$F$49</definedName>
    <definedName name="TITLE_FLAG_REG_PRICE_IP">Титульный!$F$57</definedName>
    <definedName name="TITLE_FLAG_TKO_TRANS">Титульный!$F$60</definedName>
    <definedName name="TITLE_FLAG_TOP80_ACTIVITY">Титульный!$F$54</definedName>
    <definedName name="TITLE_HEADER_PR_CHANGE">Титульный!$F$23</definedName>
    <definedName name="TITLE_IP_DETAILED_METHOD_LIST">TEHSHEET!$AZ$15:$AZ$17</definedName>
    <definedName name="TITLE_IST_PUB">Титульный!$F$22</definedName>
    <definedName name="TITLE_IST_PUB_CHANGE">Титульный!$F$27</definedName>
    <definedName name="TITLE_NAME_OR_PR">Титульный!$F$21</definedName>
    <definedName name="TITLE_NAME_OR_PR_CHANGE">Титульный!$F$24</definedName>
    <definedName name="TITLE_NUMBER_PR">Титульный!$F$20</definedName>
    <definedName name="TITLE_NUMBER_PR_CHANGE">Титульный!$F$26</definedName>
    <definedName name="TITLE_PERIOD_END">Титульный!$F$10</definedName>
    <definedName name="TITLE_PERIOD_START">Титульный!$F$9</definedName>
    <definedName name="TITLE_TYPE_ORG">Титульный!$F$34</definedName>
    <definedName name="TKO_PT_VED_ID">TEHSHEET!$CC$19:$CC$23</definedName>
    <definedName name="TKO_PT_VED_NAME">TEHSHEET!$CD$19:$CD$23</definedName>
    <definedName name="TKO_PT_VED_NAME_LIST">TEHSHEET!$CC$19:$CD$23</definedName>
    <definedName name="TP_NAME_FORM">DATA_FORMS!$C$3</definedName>
    <definedName name="TP_NUMBER_FORM">DATA_FORMS!$C$2</definedName>
    <definedName name="TP_P_A">DATA_NPA!$M$11</definedName>
    <definedName name="TP_P_B">DATA_NPA!$M$12</definedName>
    <definedName name="TP_P_G">DATA_NPA!$M$15</definedName>
    <definedName name="TP_P_NOTE_A">DATA_NPA!$N$11</definedName>
    <definedName name="TP_P_NOTE_B">DATA_NPA!$N$12</definedName>
    <definedName name="TP_P_NOTE_G">DATA_NPA!$N$15</definedName>
    <definedName name="TP_P_NOTE_G_1">DATA_NPA!$N$16</definedName>
    <definedName name="TP_P_NOTE_V">DATA_NPA!$N$13</definedName>
    <definedName name="TP_P_NOTE_V_1">DATA_NPA!$N$14</definedName>
    <definedName name="TP_P_V">DATA_NPA!$M$13</definedName>
    <definedName name="TP_P_V_1">DATA_NPA!$M$14</definedName>
    <definedName name="TYPE_TKO_LIST">TEHSHEET!$AZ$85:$AZ$87</definedName>
    <definedName name="VD_ID_LIST">REESTR_VED!$A$2:$A$4</definedName>
    <definedName name="VD_LIST">REESTR_VED!$A$2:$B$4</definedName>
    <definedName name="VD_NAME_LIST">REESTR_VED!$B$2:$B$4</definedName>
    <definedName name="VDET_END_DATE">TEHSHEET!$F$32</definedName>
    <definedName name="VDET_START_DATE">TEHSHEET!$E$32</definedName>
    <definedName name="version">Инструкция!$B$3</definedName>
    <definedName name="VOTV_FIN_SRC_LIST">TEHSHEET!$BL$4:$BL$36</definedName>
    <definedName name="VOTV_FIN_SRC_VLD_LIST">TEHSHEET!$BL$39:$BL$62</definedName>
    <definedName name="VOTV_IP_EVENT_CI_STAGE_LIST">TEHSHEET!$BL$97:$BL$100</definedName>
    <definedName name="VOTV_IP_EVENT_GROUP_LIST">TEHSHEET!$BL$69:$BL$76</definedName>
    <definedName name="VOTV_IP_EVENT_SUBGROUP_1_LIST">TEHSHEET!$BL$80:$BL$83</definedName>
    <definedName name="VOTV_IP_EVENT_SUBGROUP_3_LIST">TEHSHEET!$BL$87:$BL$88</definedName>
    <definedName name="VOTV_IP_EVENT_SUBGROUP_5_LIST">TEHSHEET!$BL$92:$BL$93</definedName>
    <definedName name="VOTV_IP_EVENT_TYPE_LIST">TEHSHEET!$BL$108</definedName>
    <definedName name="VOTV_PT_VED_ID">TEHSHEET!$BZ$19:$BZ$21</definedName>
    <definedName name="VOTV_PT_VED_NAME">TEHSHEET!$CA$19:$CA$21</definedName>
    <definedName name="VOTV_PT_VED_NAME_LIST">TEHSHEET!$BZ$19:$CA$21</definedName>
    <definedName name="VOTV_TARIFF_A_VOTV_ADD_HL_COLUMN_MARKER">'ВО. Т-во'!$T$34</definedName>
    <definedName name="VOTV_TARIFF_A_VOTV_DEL_HL_DATA_DIFF_COLUMN_MARKER">'ВО. Т-во'!$R$34</definedName>
    <definedName name="VOTV_TARIFF_A_VOTV_DEL_HL_FLAG_DIFF_COLUMN_MARKER">'ВО. Т-во'!$P$34</definedName>
    <definedName name="VOTV_TARIFF_A_VOTV_DEL_HL_GC_COLUMN_MARKER">'ВО. Т-во'!$Q$34</definedName>
    <definedName name="VOTV_TARIFF_A_VOTV_DELETE_PERIOD_ROW_MARKER">'ВО. Т-во'!$O$35</definedName>
    <definedName name="VOTV_TARIFF_A_VOTV_FLAG_BLOCK_COLUMN_MARKER">'ВО. Т-во'!$L$36</definedName>
    <definedName name="VOTV_TARIFF_A_VOTV_FLAG_BLOCK_ROW_MARKER">'ВО. Т-во'!$O$20</definedName>
    <definedName name="VOTV_TARIFF_A_VOTV_NUM_CS_COLUMN_MARKER">'ВО. Т-во'!$G$36</definedName>
    <definedName name="VOTV_TARIFF_A_VOTV_NUM_DATA_DIFF_COLUMN_MARKER">'ВО. Т-во'!$K$36</definedName>
    <definedName name="VOTV_TARIFF_A_VOTV_NUM_FLAG_DIFF_COLUMN_MARKER">'ВО. Т-во'!$I$36</definedName>
    <definedName name="VOTV_TARIFF_A_VOTV_NUM_GC_COLUMN_MARKER">'ВО. Т-во'!$J$36</definedName>
    <definedName name="VOTV_TARIFF_A_VOTV_NUM_NTAR_COLUMN_MARKER">'ВО. Т-во'!$E$36</definedName>
    <definedName name="VOTV_TARIFF_A_VOTV_NUM_TER_COLUMN_MARKER">'ВО. Т-во'!$F$36</definedName>
    <definedName name="VOTV_TARIFF_B_VOTV_ADD_HL_COLUMN_MARKER">'ВО. Т-транс'!$T$34</definedName>
    <definedName name="VOTV_TARIFF_B_VOTV_DEL_HL_DATA_DIFF_COLUMN_MARKER">'ВО. Т-транс'!$R$34</definedName>
    <definedName name="VOTV_TARIFF_B_VOTV_DEL_HL_FLAG_DIFF_COLUMN_MARKER">'ВО. Т-транс'!$P$34</definedName>
    <definedName name="VOTV_TARIFF_B_VOTV_DEL_HL_GC_COLUMN_MARKER">'ВО. Т-транс'!$Q$34</definedName>
    <definedName name="VOTV_TARIFF_B_VOTV_DELETE_PERIOD_ROW_MARKER">'ВО. Т-транс'!$O$35</definedName>
    <definedName name="VOTV_TARIFF_B_VOTV_FLAG_BLOCK_COLUMN_MARKER">'ВО. Т-транс'!$L$36</definedName>
    <definedName name="VOTV_TARIFF_B_VOTV_FLAG_BLOCK_ROW_MARKER">'ВО. Т-транс'!$O$20</definedName>
    <definedName name="VOTV_TARIFF_B_VOTV_NUM_CS_COLUMN_MARKER">'ВО. Т-транс'!$G$36</definedName>
    <definedName name="VOTV_TARIFF_B_VOTV_NUM_DATA_DIFF_COLUMN_MARKER">'ВО. Т-транс'!$K$36</definedName>
    <definedName name="VOTV_TARIFF_B_VOTV_NUM_FLAG_DIFF_COLUMN_MARKER">'ВО. Т-транс'!$I$36</definedName>
    <definedName name="VOTV_TARIFF_B_VOTV_NUM_GC_COLUMN_MARKER">'ВО. Т-транс'!$J$36</definedName>
    <definedName name="VOTV_TARIFF_B_VOTV_NUM_NTAR_COLUMN_MARKER">'ВО. Т-транс'!$E$36</definedName>
    <definedName name="VOTV_TARIFF_B_VOTV_NUM_TER_COLUMN_MARKER">'ВО. Т-транс'!$F$36</definedName>
    <definedName name="VOTV_TARIFF_C_VOTV_ADD_HL_COLUMN_MARKER">'ВО. Т-подкл'!$T$38</definedName>
    <definedName name="VOTV_TARIFF_C_VOTV_ADD_HL_DIAMETERS_COLUMN_MARKER">'ВО. Т-подкл'!$AK$38</definedName>
    <definedName name="VOTV_TARIFF_C_VOTV_ADD_HL_LEN_COLUMN_MARKER">'ВО. Т-подкл'!$AO$38</definedName>
    <definedName name="VOTV_TARIFF_C_VOTV_ADD_HL_LOAD_COLUMN_MARKER">'ВО. Т-подкл'!$AG$38</definedName>
    <definedName name="VOTV_TARIFF_C_VOTV_ADD_HL_NETS_COLUMN_MARKER">'ВО. Т-подкл'!$AS$38</definedName>
    <definedName name="VOTV_TARIFF_C_VOTV_DEL_HL_DATA_DIFF_COLUMN_MARKER">'ВО. Т-подкл'!$R$38</definedName>
    <definedName name="VOTV_TARIFF_C_VOTV_DEL_HL_DIAMETERS_COLUMN_MARKER">'ВО. Т-подкл'!$AI$38</definedName>
    <definedName name="VOTV_TARIFF_C_VOTV_DEL_HL_FLAG_DIFF_COLUMN_MARKER">'ВО. Т-подкл'!$P$38</definedName>
    <definedName name="VOTV_TARIFF_C_VOTV_DEL_HL_GC_COLUMN_MARKER">'ВО. Т-подкл'!$Q$38</definedName>
    <definedName name="VOTV_TARIFF_C_VOTV_DEL_HL_LEN_COLUMN_MARKER">'ВО. Т-подкл'!$AM$38</definedName>
    <definedName name="VOTV_TARIFF_C_VOTV_DEL_HL_LOAD_COLUMN_MARKER">'ВО. Т-подкл'!$AE$38</definedName>
    <definedName name="VOTV_TARIFF_C_VOTV_DEL_HL_NETS_COLUMN_MARKER">'ВО. Т-подкл'!$AQ$38</definedName>
    <definedName name="VOTV_TARIFF_C_VOTV_DELETE_PERIOD_ROW_MARKER">'ВО. Т-подкл'!$O$39</definedName>
    <definedName name="VOTV_TARIFF_C_VOTV_FLAG_BLOCK_COLUMN_MARKER">'ВО. Т-подкл'!$L$44</definedName>
    <definedName name="VOTV_TARIFF_C_VOTV_FLAG_BLOCK_ROW_MARKER">'ВО. Т-подкл'!$O$24</definedName>
    <definedName name="VOTV_TARIFF_C_VOTV_NUM_CS_COLUMN_MARKER">'ВО. Т-подкл'!$G$44</definedName>
    <definedName name="VOTV_TARIFF_C_VOTV_NUM_DATA_DIFF_COLUMN_MARKER">'ВО. Т-подкл'!$K$44</definedName>
    <definedName name="VOTV_TARIFF_C_VOTV_NUM_DIAMETERS_COLUMN_MARKER">'ВО. Т-подкл'!$AJ$38</definedName>
    <definedName name="VOTV_TARIFF_C_VOTV_NUM_FLAG_DIFF_COLUMN_MARKER">'ВО. Т-подкл'!$I$44</definedName>
    <definedName name="VOTV_TARIFF_C_VOTV_NUM_GC_COLUMN_MARKER">'ВО. Т-подкл'!$J$44</definedName>
    <definedName name="VOTV_TARIFF_C_VOTV_NUM_LEN_COLUMN_MARKER">'ВО. Т-подкл'!$AN$38</definedName>
    <definedName name="VOTV_TARIFF_C_VOTV_NUM_LOAD_COLUMN_MARKER">'ВО. Т-подкл'!$AF$38</definedName>
    <definedName name="VOTV_TARIFF_C_VOTV_NUM_NETS_COLUMN_MARKER">'ВО. Т-подкл'!$AR$38</definedName>
    <definedName name="VOTV_TARIFF_C_VOTV_NUM_NTAR_COLUMN_MARKER">'ВО. Т-подкл'!$E$44</definedName>
    <definedName name="VOTV_TARIFF_C_VOTV_NUM_TER_COLUMN_MARKER">'ВО. Т-подкл'!$F$44</definedName>
    <definedName name="VSNA_FIN_SRC_LIST">TEHSHEET!$BJ$4:$BJ$34</definedName>
    <definedName name="VSNA_FIN_SRC_VLD_LIST">TEHSHEET!$BJ$39:$BJ$60</definedName>
    <definedName name="VSNA_IP_EVENT_CI_STAGE_LIST">TEHSHEET!$BJ$97:$BJ$100</definedName>
    <definedName name="VSNA_IP_EVENT_GROUP_LIST">TEHSHEET!$BJ$69:$BJ$76</definedName>
    <definedName name="VSNA_IP_EVENT_SUBGROUP_1_LIST">TEHSHEET!$BJ$80:$BJ$83</definedName>
    <definedName name="VSNA_IP_EVENT_SUBGROUP_3_LIST">TEHSHEET!$BJ$87:$BJ$88</definedName>
    <definedName name="VSNA_IP_EVENT_SUBGROUP_5_LIST">TEHSHEET!$BJ$92:$BJ$93</definedName>
    <definedName name="VSNA_IP_EVENT_TYPE_LIST">TEHSHEET!$BJ$108</definedName>
    <definedName name="VTAR_ID">TEHSHEET!$E$59</definedName>
    <definedName name="Y_N_DIFFERENTIATION_AREA">Дифференциация!$F$12:$F$16</definedName>
    <definedName name="Y_N_DIFFERENTIATION_SYSTEM">Дифференциация!$J$12:$J$16</definedName>
    <definedName name="YEAR_IP_LIST">TEHSHEET!$BE$2:$BE$72</definedName>
    <definedName name="year_list">TEHSHEET!$C$2:$C$6</definedName>
    <definedName name="year_list1">TEHSHEET!$B$2:$B$27</definedName>
  </definedNames>
  <calcPr calcId="162913"/>
</workbook>
</file>

<file path=xl/calcChain.xml><?xml version="1.0" encoding="utf-8"?>
<calcChain xmlns="http://schemas.openxmlformats.org/spreadsheetml/2006/main">
  <c r="S11" i="66" l="1" a="1"/>
  <c r="S11" i="66" s="1"/>
  <c r="G11" i="66"/>
  <c r="S2" i="66" a="1"/>
  <c r="S2" i="66" s="1"/>
  <c r="G2" i="66"/>
  <c r="R10" i="65"/>
  <c r="P10" i="65" a="1"/>
  <c r="P10" i="65"/>
  <c r="F10" i="65"/>
  <c r="K8" i="65"/>
  <c r="J8" i="65"/>
  <c r="G8" i="65"/>
  <c r="E5" i="65"/>
  <c r="R2" i="65"/>
  <c r="P2" i="65" a="1"/>
  <c r="P2" i="65" s="1"/>
  <c r="F2" i="65"/>
  <c r="P9" i="64"/>
  <c r="N9" i="64" a="1"/>
  <c r="N9" i="64"/>
  <c r="E5" i="64"/>
  <c r="P2" i="64"/>
  <c r="N2" i="64" a="1"/>
  <c r="N2" i="64" s="1"/>
  <c r="D6" i="63"/>
  <c r="D5" i="63"/>
  <c r="BF63" i="54"/>
  <c r="BF62" i="54"/>
  <c r="BF61" i="54"/>
  <c r="BF60" i="54"/>
  <c r="BF59" i="54"/>
  <c r="BF58" i="54"/>
  <c r="BF57" i="54"/>
  <c r="BF56" i="54"/>
  <c r="BB56" i="54"/>
  <c r="AW56" i="54"/>
  <c r="AU56" i="54"/>
  <c r="Y56" i="54"/>
  <c r="W56" i="54"/>
  <c r="BF52" i="54"/>
  <c r="BF51" i="54"/>
  <c r="J51" i="54"/>
  <c r="BF50" i="54"/>
  <c r="I50" i="54"/>
  <c r="BF49" i="54"/>
  <c r="BF48" i="54"/>
  <c r="BF47" i="54"/>
  <c r="BF46" i="54"/>
  <c r="BC46" i="54"/>
  <c r="AW45" i="54"/>
  <c r="AX45" i="54" s="1"/>
  <c r="AY45" i="54" s="1"/>
  <c r="BA45" i="54" s="1"/>
  <c r="BB45" i="54" s="1"/>
  <c r="BC45" i="54" s="1"/>
  <c r="U45" i="54"/>
  <c r="V45" i="54" s="1"/>
  <c r="W45" i="54" s="1"/>
  <c r="X45" i="54" s="1"/>
  <c r="Y45" i="54" s="1"/>
  <c r="Z45" i="54" s="1"/>
  <c r="AA45" i="54" s="1"/>
  <c r="AC45" i="54" s="1"/>
  <c r="AD45" i="54" s="1"/>
  <c r="AD37" i="54"/>
  <c r="AD36" i="54"/>
  <c r="AD34" i="54"/>
  <c r="AD33" i="54"/>
  <c r="AD32" i="54"/>
  <c r="AD31" i="54"/>
  <c r="S29" i="54"/>
  <c r="S28" i="54"/>
  <c r="BF18" i="54"/>
  <c r="BF17" i="54"/>
  <c r="BF16" i="54"/>
  <c r="BF15" i="54"/>
  <c r="BF14" i="54"/>
  <c r="BF13" i="54"/>
  <c r="BF12" i="54"/>
  <c r="BB12" i="54"/>
  <c r="AW12" i="54"/>
  <c r="AU12" i="54"/>
  <c r="Y12" i="54"/>
  <c r="W12" i="54"/>
  <c r="BF8" i="54"/>
  <c r="BF7" i="54"/>
  <c r="J7" i="54"/>
  <c r="BF6" i="54"/>
  <c r="I6" i="54"/>
  <c r="BF5" i="54"/>
  <c r="BF4" i="54"/>
  <c r="AD4" i="54"/>
  <c r="S4" i="54"/>
  <c r="K8" i="54" s="1"/>
  <c r="S8" i="54" s="1"/>
  <c r="BF3" i="54"/>
  <c r="AD3" i="54"/>
  <c r="S3" i="54"/>
  <c r="BF2" i="54"/>
  <c r="BC2" i="54"/>
  <c r="AD2" i="54"/>
  <c r="S2" i="54"/>
  <c r="AN53" i="53"/>
  <c r="AN52" i="53"/>
  <c r="AN51" i="53"/>
  <c r="AN50" i="53"/>
  <c r="AN49" i="53"/>
  <c r="AN48" i="53"/>
  <c r="AN47" i="53"/>
  <c r="AE47" i="53"/>
  <c r="X47" i="53"/>
  <c r="AN46" i="53"/>
  <c r="AK46" i="53"/>
  <c r="AN45" i="53"/>
  <c r="AN44" i="53"/>
  <c r="AN43" i="53"/>
  <c r="AN42" i="53"/>
  <c r="AN41" i="53"/>
  <c r="AK41" i="53"/>
  <c r="U40" i="53"/>
  <c r="V40" i="53" s="1"/>
  <c r="W40" i="53" s="1"/>
  <c r="X40" i="53" s="1"/>
  <c r="Y40" i="53" s="1"/>
  <c r="Z40" i="53" s="1"/>
  <c r="AB40" i="53" s="1"/>
  <c r="AC40" i="53" s="1"/>
  <c r="AD40" i="53" s="1"/>
  <c r="AE40" i="53" s="1"/>
  <c r="AF40" i="53" s="1"/>
  <c r="AG40" i="53" s="1"/>
  <c r="AI40" i="53" s="1"/>
  <c r="AJ40" i="53" s="1"/>
  <c r="AK40" i="53" s="1"/>
  <c r="AC33" i="53"/>
  <c r="V33" i="53"/>
  <c r="AC32" i="53"/>
  <c r="V32" i="53"/>
  <c r="AC30" i="53"/>
  <c r="V30" i="53"/>
  <c r="AC29" i="53"/>
  <c r="V29" i="53"/>
  <c r="AC28" i="53"/>
  <c r="V28" i="53"/>
  <c r="AC27" i="53"/>
  <c r="V27" i="53"/>
  <c r="S25" i="53"/>
  <c r="S24" i="53"/>
  <c r="AE16" i="53"/>
  <c r="AN13" i="53"/>
  <c r="AN12" i="53"/>
  <c r="AN11" i="53"/>
  <c r="AN10" i="53"/>
  <c r="AN9" i="53"/>
  <c r="AN8" i="53"/>
  <c r="AE8" i="53"/>
  <c r="X8" i="53"/>
  <c r="AN7" i="53"/>
  <c r="AK7" i="53"/>
  <c r="AN6" i="53"/>
  <c r="AN5" i="53"/>
  <c r="AN4" i="53"/>
  <c r="AC4" i="53"/>
  <c r="S4" i="53"/>
  <c r="I5" i="53" s="1"/>
  <c r="AN3" i="53"/>
  <c r="AC3" i="53"/>
  <c r="S3" i="53"/>
  <c r="AN2" i="53"/>
  <c r="AK2" i="53"/>
  <c r="AC2" i="53"/>
  <c r="S2" i="53"/>
  <c r="AN53" i="52"/>
  <c r="AN52" i="52"/>
  <c r="AN51" i="52"/>
  <c r="AN50" i="52"/>
  <c r="AN49" i="52"/>
  <c r="AN48" i="52"/>
  <c r="AN47" i="52"/>
  <c r="AE47" i="52"/>
  <c r="X47" i="52"/>
  <c r="AN46" i="52"/>
  <c r="AK46" i="52"/>
  <c r="AN45" i="52"/>
  <c r="AN44" i="52"/>
  <c r="AN43" i="52"/>
  <c r="AN42" i="52"/>
  <c r="AN41" i="52"/>
  <c r="AK41" i="52"/>
  <c r="U40" i="52"/>
  <c r="V40" i="52" s="1"/>
  <c r="W40" i="52" s="1"/>
  <c r="X40" i="52" s="1"/>
  <c r="Y40" i="52" s="1"/>
  <c r="Z40" i="52" s="1"/>
  <c r="AB40" i="52" s="1"/>
  <c r="AC40" i="52" s="1"/>
  <c r="AD40" i="52" s="1"/>
  <c r="AE40" i="52" s="1"/>
  <c r="AF40" i="52" s="1"/>
  <c r="AG40" i="52" s="1"/>
  <c r="AI40" i="52" s="1"/>
  <c r="AJ40" i="52" s="1"/>
  <c r="AK40" i="52" s="1"/>
  <c r="AC33" i="52"/>
  <c r="V33" i="52"/>
  <c r="AC32" i="52"/>
  <c r="V32" i="52"/>
  <c r="AC30" i="52"/>
  <c r="V30" i="52"/>
  <c r="AC29" i="52"/>
  <c r="V29" i="52"/>
  <c r="AC28" i="52"/>
  <c r="V28" i="52"/>
  <c r="AC27" i="52"/>
  <c r="V27" i="52"/>
  <c r="S25" i="52"/>
  <c r="S24" i="52"/>
  <c r="AE16" i="52"/>
  <c r="AN13" i="52"/>
  <c r="AN12" i="52"/>
  <c r="AN11" i="52"/>
  <c r="AN10" i="52"/>
  <c r="AN9" i="52"/>
  <c r="AN8" i="52"/>
  <c r="AE8" i="52"/>
  <c r="X8" i="52"/>
  <c r="AN7" i="52"/>
  <c r="AK7" i="52"/>
  <c r="AN6" i="52"/>
  <c r="AN5" i="52"/>
  <c r="AN4" i="52"/>
  <c r="AC4" i="52"/>
  <c r="S4" i="52"/>
  <c r="I5" i="52" s="1"/>
  <c r="AN3" i="52"/>
  <c r="AC3" i="52"/>
  <c r="S3" i="52"/>
  <c r="AN2" i="52"/>
  <c r="AK2" i="52"/>
  <c r="AC2" i="52"/>
  <c r="S2" i="52"/>
  <c r="BF63" i="51"/>
  <c r="BF62" i="51"/>
  <c r="BF61" i="51"/>
  <c r="BF60" i="51"/>
  <c r="BF59" i="51"/>
  <c r="BF58" i="51"/>
  <c r="BF57" i="51"/>
  <c r="BF56" i="51"/>
  <c r="BB56" i="51"/>
  <c r="AW56" i="51"/>
  <c r="AU56" i="51"/>
  <c r="Y56" i="51"/>
  <c r="W56" i="51"/>
  <c r="BF52" i="51"/>
  <c r="BF51" i="51"/>
  <c r="J51" i="51"/>
  <c r="BF50" i="51"/>
  <c r="I50" i="51"/>
  <c r="BF49" i="51"/>
  <c r="BF48" i="51"/>
  <c r="BF47" i="51"/>
  <c r="BF46" i="51"/>
  <c r="BC46" i="51"/>
  <c r="AW45" i="51"/>
  <c r="AX45" i="51" s="1"/>
  <c r="AY45" i="51" s="1"/>
  <c r="BA45" i="51" s="1"/>
  <c r="BB45" i="51" s="1"/>
  <c r="BC45" i="51" s="1"/>
  <c r="U45" i="51"/>
  <c r="V45" i="51" s="1"/>
  <c r="W45" i="51" s="1"/>
  <c r="X45" i="51" s="1"/>
  <c r="Y45" i="51" s="1"/>
  <c r="Z45" i="51" s="1"/>
  <c r="AA45" i="51" s="1"/>
  <c r="AC45" i="51" s="1"/>
  <c r="AD45" i="51" s="1"/>
  <c r="AD37" i="51"/>
  <c r="AD36" i="51"/>
  <c r="AD34" i="51"/>
  <c r="AD33" i="51"/>
  <c r="AD32" i="51"/>
  <c r="AD31" i="51"/>
  <c r="S29" i="51"/>
  <c r="S28" i="51"/>
  <c r="BF18" i="51"/>
  <c r="BF17" i="51"/>
  <c r="BF16" i="51"/>
  <c r="BF15" i="51"/>
  <c r="BF14" i="51"/>
  <c r="BF13" i="51"/>
  <c r="BF12" i="51"/>
  <c r="BB12" i="51"/>
  <c r="AW12" i="51"/>
  <c r="AU12" i="51"/>
  <c r="Y12" i="51"/>
  <c r="W12" i="51"/>
  <c r="BF8" i="51"/>
  <c r="BF7" i="51"/>
  <c r="J7" i="51"/>
  <c r="BF6" i="51"/>
  <c r="I6" i="51"/>
  <c r="BF5" i="51"/>
  <c r="BF4" i="51"/>
  <c r="AD4" i="51"/>
  <c r="S4" i="51"/>
  <c r="K8" i="51" s="1"/>
  <c r="S8" i="51" s="1"/>
  <c r="BF3" i="51"/>
  <c r="AD3" i="51"/>
  <c r="S3" i="51"/>
  <c r="BF2" i="51"/>
  <c r="BC2" i="51"/>
  <c r="AD2" i="51"/>
  <c r="S2" i="51"/>
  <c r="AN53" i="50"/>
  <c r="AN52" i="50"/>
  <c r="AN51" i="50"/>
  <c r="AN50" i="50"/>
  <c r="AN49" i="50"/>
  <c r="AN48" i="50"/>
  <c r="AN47" i="50"/>
  <c r="AE47" i="50"/>
  <c r="X47" i="50"/>
  <c r="AN46" i="50"/>
  <c r="AK46" i="50"/>
  <c r="AN45" i="50"/>
  <c r="AN44" i="50"/>
  <c r="AN43" i="50"/>
  <c r="AN42" i="50"/>
  <c r="AN41" i="50"/>
  <c r="AK41" i="50"/>
  <c r="U40" i="50"/>
  <c r="V40" i="50" s="1"/>
  <c r="W40" i="50" s="1"/>
  <c r="X40" i="50" s="1"/>
  <c r="Y40" i="50" s="1"/>
  <c r="Z40" i="50" s="1"/>
  <c r="AB40" i="50" s="1"/>
  <c r="AC40" i="50" s="1"/>
  <c r="AD40" i="50" s="1"/>
  <c r="AE40" i="50" s="1"/>
  <c r="AF40" i="50" s="1"/>
  <c r="AG40" i="50" s="1"/>
  <c r="AI40" i="50" s="1"/>
  <c r="AJ40" i="50" s="1"/>
  <c r="AK40" i="50" s="1"/>
  <c r="AC33" i="50"/>
  <c r="V33" i="50"/>
  <c r="AC32" i="50"/>
  <c r="V32" i="50"/>
  <c r="AC30" i="50"/>
  <c r="V30" i="50"/>
  <c r="AC29" i="50"/>
  <c r="V29" i="50"/>
  <c r="AC28" i="50"/>
  <c r="V28" i="50"/>
  <c r="AC27" i="50"/>
  <c r="V27" i="50"/>
  <c r="S25" i="50"/>
  <c r="S24" i="50"/>
  <c r="AE16" i="50"/>
  <c r="AN13" i="50"/>
  <c r="AN12" i="50"/>
  <c r="AN11" i="50"/>
  <c r="AN10" i="50"/>
  <c r="AN9" i="50"/>
  <c r="AN8" i="50"/>
  <c r="AE8" i="50"/>
  <c r="X8" i="50"/>
  <c r="AN7" i="50"/>
  <c r="AK7" i="50"/>
  <c r="AN6" i="50"/>
  <c r="AN5" i="50"/>
  <c r="AN4" i="50"/>
  <c r="AC4" i="50"/>
  <c r="S4" i="50"/>
  <c r="I5" i="50" s="1"/>
  <c r="AN3" i="50"/>
  <c r="AC3" i="50"/>
  <c r="S3" i="50"/>
  <c r="AN2" i="50"/>
  <c r="AK2" i="50"/>
  <c r="AC2" i="50"/>
  <c r="S2" i="50"/>
  <c r="AN53" i="49"/>
  <c r="AN52" i="49"/>
  <c r="AN51" i="49"/>
  <c r="AN50" i="49"/>
  <c r="AN49" i="49"/>
  <c r="AN48" i="49"/>
  <c r="AN47" i="49"/>
  <c r="AE47" i="49"/>
  <c r="X47" i="49"/>
  <c r="AN46" i="49"/>
  <c r="AK46" i="49"/>
  <c r="AN45" i="49"/>
  <c r="AN44" i="49"/>
  <c r="AN43" i="49"/>
  <c r="AN42" i="49"/>
  <c r="AN41" i="49"/>
  <c r="AK41" i="49"/>
  <c r="U40" i="49"/>
  <c r="V40" i="49" s="1"/>
  <c r="W40" i="49" s="1"/>
  <c r="X40" i="49" s="1"/>
  <c r="Y40" i="49" s="1"/>
  <c r="Z40" i="49" s="1"/>
  <c r="AB40" i="49" s="1"/>
  <c r="AC40" i="49" s="1"/>
  <c r="AD40" i="49" s="1"/>
  <c r="AE40" i="49" s="1"/>
  <c r="AF40" i="49" s="1"/>
  <c r="AG40" i="49" s="1"/>
  <c r="AI40" i="49" s="1"/>
  <c r="AJ40" i="49" s="1"/>
  <c r="AK40" i="49" s="1"/>
  <c r="AC33" i="49"/>
  <c r="V33" i="49"/>
  <c r="AC32" i="49"/>
  <c r="V32" i="49"/>
  <c r="AC30" i="49"/>
  <c r="V30" i="49"/>
  <c r="AC29" i="49"/>
  <c r="V29" i="49"/>
  <c r="AC28" i="49"/>
  <c r="V28" i="49"/>
  <c r="AC27" i="49"/>
  <c r="V27" i="49"/>
  <c r="S25" i="49"/>
  <c r="S24" i="49"/>
  <c r="AE16" i="49"/>
  <c r="AN13" i="49"/>
  <c r="AN12" i="49"/>
  <c r="AN11" i="49"/>
  <c r="AN10" i="49"/>
  <c r="AN9" i="49"/>
  <c r="AN8" i="49"/>
  <c r="AE8" i="49"/>
  <c r="X8" i="49"/>
  <c r="AN7" i="49"/>
  <c r="AK7" i="49"/>
  <c r="AN6" i="49"/>
  <c r="AN5" i="49"/>
  <c r="AN4" i="49"/>
  <c r="AC4" i="49"/>
  <c r="S4" i="49"/>
  <c r="I5" i="49" s="1"/>
  <c r="AN3" i="49"/>
  <c r="AC3" i="49"/>
  <c r="S3" i="49"/>
  <c r="AN2" i="49"/>
  <c r="AK2" i="49"/>
  <c r="AC2" i="49"/>
  <c r="S2" i="49"/>
  <c r="F6" i="48"/>
  <c r="H57" i="47"/>
  <c r="H56" i="47"/>
  <c r="H55" i="47"/>
  <c r="I54" i="47"/>
  <c r="H54" i="47"/>
  <c r="H53" i="47"/>
  <c r="H52" i="47"/>
  <c r="H51" i="47"/>
  <c r="H50" i="47"/>
  <c r="I49" i="47"/>
  <c r="H49" i="47"/>
  <c r="I48" i="47"/>
  <c r="H48" i="47"/>
  <c r="H47" i="47"/>
  <c r="H46" i="47"/>
  <c r="H45" i="47"/>
  <c r="I44" i="47"/>
  <c r="H44" i="47" s="1"/>
  <c r="H43" i="47"/>
  <c r="H42" i="47"/>
  <c r="H41" i="47"/>
  <c r="H40" i="47"/>
  <c r="I39" i="47"/>
  <c r="H39" i="47" s="1"/>
  <c r="I38" i="47"/>
  <c r="I58" i="47" s="1"/>
  <c r="H58" i="47" s="1"/>
  <c r="H35" i="47"/>
  <c r="H34" i="47"/>
  <c r="H33" i="47"/>
  <c r="I32" i="47"/>
  <c r="H32" i="47"/>
  <c r="H31" i="47"/>
  <c r="H30" i="47"/>
  <c r="H29" i="47"/>
  <c r="I28" i="47"/>
  <c r="H28" i="47" s="1"/>
  <c r="H27" i="47"/>
  <c r="H26" i="47"/>
  <c r="H25" i="47"/>
  <c r="H24" i="47"/>
  <c r="H23" i="47"/>
  <c r="H22" i="47"/>
  <c r="H21" i="47"/>
  <c r="H20" i="47"/>
  <c r="H19" i="47"/>
  <c r="H18" i="47"/>
  <c r="H17" i="47"/>
  <c r="H16" i="47"/>
  <c r="I15" i="47"/>
  <c r="I36" i="47" s="1"/>
  <c r="H36" i="47" s="1"/>
  <c r="H11" i="47"/>
  <c r="F6" i="47"/>
  <c r="F6" i="46"/>
  <c r="H15" i="45"/>
  <c r="F6" i="45"/>
  <c r="J12" i="44"/>
  <c r="I12" i="44"/>
  <c r="H12" i="44"/>
  <c r="G12" i="44"/>
  <c r="G9" i="44"/>
  <c r="G8" i="44"/>
  <c r="G7" i="44"/>
  <c r="D4" i="44"/>
  <c r="E28" i="43"/>
  <c r="I27" i="43"/>
  <c r="H27" i="43"/>
  <c r="I16" i="43"/>
  <c r="H16" i="43"/>
  <c r="H12" i="43"/>
  <c r="H11" i="43"/>
  <c r="H10" i="43"/>
  <c r="E7" i="43"/>
  <c r="E33" i="42"/>
  <c r="I32" i="42"/>
  <c r="H32" i="42"/>
  <c r="I16" i="42"/>
  <c r="H16" i="42"/>
  <c r="H12" i="42"/>
  <c r="H11" i="42"/>
  <c r="H10" i="42"/>
  <c r="E7" i="42"/>
  <c r="V20" i="41"/>
  <c r="Q20" i="41"/>
  <c r="V17" i="41"/>
  <c r="Q17" i="41"/>
  <c r="E6" i="41"/>
  <c r="I88" i="40"/>
  <c r="H88" i="40"/>
  <c r="I69" i="40"/>
  <c r="H69" i="40"/>
  <c r="I55" i="40"/>
  <c r="I52" i="40"/>
  <c r="I49" i="40"/>
  <c r="K40" i="40"/>
  <c r="K39" i="40"/>
  <c r="K38" i="40"/>
  <c r="K37" i="40"/>
  <c r="K36" i="40"/>
  <c r="K35" i="40"/>
  <c r="K34" i="40"/>
  <c r="I33" i="40"/>
  <c r="H33" i="40"/>
  <c r="H27" i="40"/>
  <c r="H26" i="40"/>
  <c r="H25" i="40"/>
  <c r="E22" i="40"/>
  <c r="E7" i="40"/>
  <c r="E6" i="40"/>
  <c r="E5" i="40"/>
  <c r="E4" i="40"/>
  <c r="I3" i="40"/>
  <c r="H3" i="40"/>
  <c r="E2" i="40"/>
  <c r="BF63" i="39"/>
  <c r="BF62" i="39"/>
  <c r="BF61" i="39"/>
  <c r="BF60" i="39"/>
  <c r="BF59" i="39"/>
  <c r="BF58" i="39"/>
  <c r="BF57" i="39"/>
  <c r="BF56" i="39"/>
  <c r="BB56" i="39"/>
  <c r="AW56" i="39"/>
  <c r="AU56" i="39"/>
  <c r="Y56" i="39"/>
  <c r="W56" i="39"/>
  <c r="BF52" i="39"/>
  <c r="BF51" i="39"/>
  <c r="J51" i="39"/>
  <c r="BF50" i="39"/>
  <c r="I50" i="39"/>
  <c r="BF49" i="39"/>
  <c r="BF48" i="39"/>
  <c r="BF47" i="39"/>
  <c r="BF46" i="39"/>
  <c r="BC46" i="39"/>
  <c r="AW45" i="39"/>
  <c r="AX45" i="39" s="1"/>
  <c r="AY45" i="39" s="1"/>
  <c r="BA45" i="39" s="1"/>
  <c r="BB45" i="39" s="1"/>
  <c r="BC45" i="39" s="1"/>
  <c r="U45" i="39"/>
  <c r="V45" i="39" s="1"/>
  <c r="W45" i="39" s="1"/>
  <c r="X45" i="39" s="1"/>
  <c r="Y45" i="39" s="1"/>
  <c r="Z45" i="39" s="1"/>
  <c r="AA45" i="39" s="1"/>
  <c r="AC45" i="39" s="1"/>
  <c r="AD45" i="39" s="1"/>
  <c r="AD37" i="39"/>
  <c r="AD36" i="39"/>
  <c r="AD34" i="39"/>
  <c r="AD33" i="39"/>
  <c r="AD32" i="39"/>
  <c r="AD31" i="39"/>
  <c r="S29" i="39"/>
  <c r="S28" i="39"/>
  <c r="BF18" i="39"/>
  <c r="BF17" i="39"/>
  <c r="BF16" i="39"/>
  <c r="BF15" i="39"/>
  <c r="BF14" i="39"/>
  <c r="BF13" i="39"/>
  <c r="BF12" i="39"/>
  <c r="BB12" i="39"/>
  <c r="AW12" i="39"/>
  <c r="AU12" i="39"/>
  <c r="Y12" i="39"/>
  <c r="W12" i="39"/>
  <c r="BF8" i="39"/>
  <c r="BF7" i="39"/>
  <c r="J7" i="39"/>
  <c r="BF6" i="39"/>
  <c r="I6" i="39"/>
  <c r="BF5" i="39"/>
  <c r="BF4" i="39"/>
  <c r="AD4" i="39"/>
  <c r="S4" i="39"/>
  <c r="K8" i="39" s="1"/>
  <c r="S8" i="39" s="1"/>
  <c r="BF3" i="39"/>
  <c r="AD3" i="39"/>
  <c r="S3" i="39"/>
  <c r="BF2" i="39"/>
  <c r="BC2" i="39"/>
  <c r="AD2" i="39"/>
  <c r="S2" i="39"/>
  <c r="AN53" i="38"/>
  <c r="AN52" i="38"/>
  <c r="AN51" i="38"/>
  <c r="AN50" i="38"/>
  <c r="AN49" i="38"/>
  <c r="AN48" i="38"/>
  <c r="AN47" i="38"/>
  <c r="AE47" i="38"/>
  <c r="X47" i="38"/>
  <c r="AN46" i="38"/>
  <c r="AK46" i="38"/>
  <c r="AN45" i="38"/>
  <c r="AN44" i="38"/>
  <c r="AN43" i="38"/>
  <c r="AN42" i="38"/>
  <c r="AN41" i="38"/>
  <c r="AK41" i="38"/>
  <c r="U40" i="38"/>
  <c r="V40" i="38" s="1"/>
  <c r="W40" i="38" s="1"/>
  <c r="X40" i="38" s="1"/>
  <c r="Y40" i="38" s="1"/>
  <c r="Z40" i="38" s="1"/>
  <c r="AB40" i="38" s="1"/>
  <c r="AC40" i="38" s="1"/>
  <c r="AD40" i="38" s="1"/>
  <c r="AE40" i="38" s="1"/>
  <c r="AF40" i="38" s="1"/>
  <c r="AG40" i="38" s="1"/>
  <c r="AI40" i="38" s="1"/>
  <c r="AJ40" i="38" s="1"/>
  <c r="AK40" i="38" s="1"/>
  <c r="AC33" i="38"/>
  <c r="V33" i="38"/>
  <c r="AC32" i="38"/>
  <c r="V32" i="38"/>
  <c r="AC30" i="38"/>
  <c r="V30" i="38"/>
  <c r="AC29" i="38"/>
  <c r="V29" i="38"/>
  <c r="AC28" i="38"/>
  <c r="V28" i="38"/>
  <c r="AC27" i="38"/>
  <c r="V27" i="38"/>
  <c r="S25" i="38"/>
  <c r="S24" i="38"/>
  <c r="AE16" i="38"/>
  <c r="AN13" i="38"/>
  <c r="AN12" i="38"/>
  <c r="AN11" i="38"/>
  <c r="AN10" i="38"/>
  <c r="AN9" i="38"/>
  <c r="AN8" i="38"/>
  <c r="AE8" i="38"/>
  <c r="X8" i="38"/>
  <c r="AN7" i="38"/>
  <c r="AK7" i="38"/>
  <c r="AN6" i="38"/>
  <c r="AN5" i="38"/>
  <c r="AN4" i="38"/>
  <c r="AC4" i="38"/>
  <c r="S4" i="38"/>
  <c r="I5" i="38" s="1"/>
  <c r="AN3" i="38"/>
  <c r="AC3" i="38"/>
  <c r="S3" i="38"/>
  <c r="AN2" i="38"/>
  <c r="AK2" i="38"/>
  <c r="AC2" i="38"/>
  <c r="S2" i="38"/>
  <c r="AN53" i="37"/>
  <c r="AN52" i="37"/>
  <c r="AN51" i="37"/>
  <c r="AN50" i="37"/>
  <c r="AN49" i="37"/>
  <c r="AN48" i="37"/>
  <c r="AN47" i="37"/>
  <c r="AE47" i="37"/>
  <c r="X47" i="37"/>
  <c r="AN46" i="37"/>
  <c r="AK46" i="37"/>
  <c r="AN45" i="37"/>
  <c r="AN44" i="37"/>
  <c r="AN43" i="37"/>
  <c r="AN42" i="37"/>
  <c r="AN41" i="37"/>
  <c r="AK41" i="37"/>
  <c r="U40" i="37"/>
  <c r="V40" i="37" s="1"/>
  <c r="W40" i="37" s="1"/>
  <c r="X40" i="37" s="1"/>
  <c r="Y40" i="37" s="1"/>
  <c r="Z40" i="37" s="1"/>
  <c r="AB40" i="37" s="1"/>
  <c r="AC40" i="37" s="1"/>
  <c r="AD40" i="37" s="1"/>
  <c r="AE40" i="37" s="1"/>
  <c r="AF40" i="37" s="1"/>
  <c r="AG40" i="37" s="1"/>
  <c r="AI40" i="37" s="1"/>
  <c r="AJ40" i="37" s="1"/>
  <c r="AK40" i="37" s="1"/>
  <c r="AC33" i="37"/>
  <c r="V33" i="37"/>
  <c r="AC32" i="37"/>
  <c r="V32" i="37"/>
  <c r="AC30" i="37"/>
  <c r="V30" i="37"/>
  <c r="AC29" i="37"/>
  <c r="V29" i="37"/>
  <c r="AC28" i="37"/>
  <c r="V28" i="37"/>
  <c r="AC27" i="37"/>
  <c r="V27" i="37"/>
  <c r="S25" i="37"/>
  <c r="S24" i="37"/>
  <c r="AE16" i="37"/>
  <c r="AN13" i="37"/>
  <c r="AN12" i="37"/>
  <c r="AN11" i="37"/>
  <c r="AN10" i="37"/>
  <c r="AN9" i="37"/>
  <c r="AN8" i="37"/>
  <c r="AE8" i="37"/>
  <c r="X8" i="37"/>
  <c r="AN7" i="37"/>
  <c r="AK7" i="37"/>
  <c r="AN6" i="37"/>
  <c r="AN5" i="37"/>
  <c r="AN4" i="37"/>
  <c r="AC4" i="37"/>
  <c r="S4" i="37"/>
  <c r="I5" i="37" s="1"/>
  <c r="AN3" i="37"/>
  <c r="AC3" i="37"/>
  <c r="S3" i="37"/>
  <c r="AN2" i="37"/>
  <c r="AK2" i="37"/>
  <c r="AC2" i="37"/>
  <c r="S2" i="37"/>
  <c r="AN53" i="36"/>
  <c r="AN52" i="36"/>
  <c r="AN51" i="36"/>
  <c r="AN50" i="36"/>
  <c r="AN49" i="36"/>
  <c r="AN48" i="36"/>
  <c r="AN47" i="36"/>
  <c r="AE47" i="36"/>
  <c r="X47" i="36"/>
  <c r="AN46" i="36"/>
  <c r="AK46" i="36"/>
  <c r="AN45" i="36"/>
  <c r="AN44" i="36"/>
  <c r="AN43" i="36"/>
  <c r="AN42" i="36"/>
  <c r="AN41" i="36"/>
  <c r="AK41" i="36"/>
  <c r="U40" i="36"/>
  <c r="V40" i="36" s="1"/>
  <c r="W40" i="36" s="1"/>
  <c r="X40" i="36" s="1"/>
  <c r="Y40" i="36" s="1"/>
  <c r="Z40" i="36" s="1"/>
  <c r="AB40" i="36" s="1"/>
  <c r="AC40" i="36" s="1"/>
  <c r="AD40" i="36" s="1"/>
  <c r="AE40" i="36" s="1"/>
  <c r="AF40" i="36" s="1"/>
  <c r="AG40" i="36" s="1"/>
  <c r="AI40" i="36" s="1"/>
  <c r="AJ40" i="36" s="1"/>
  <c r="AK40" i="36" s="1"/>
  <c r="AC33" i="36"/>
  <c r="V33" i="36"/>
  <c r="AC32" i="36"/>
  <c r="V32" i="36"/>
  <c r="AC30" i="36"/>
  <c r="V30" i="36"/>
  <c r="AC29" i="36"/>
  <c r="V29" i="36"/>
  <c r="AC28" i="36"/>
  <c r="V28" i="36"/>
  <c r="AC27" i="36"/>
  <c r="V27" i="36"/>
  <c r="S25" i="36"/>
  <c r="S24" i="36"/>
  <c r="AE16" i="36"/>
  <c r="AN13" i="36"/>
  <c r="AN12" i="36"/>
  <c r="AN11" i="36"/>
  <c r="AN10" i="36"/>
  <c r="AN9" i="36"/>
  <c r="AN8" i="36"/>
  <c r="AE8" i="36"/>
  <c r="X8" i="36"/>
  <c r="AN7" i="36"/>
  <c r="AK7" i="36"/>
  <c r="AN6" i="36"/>
  <c r="AN5" i="36"/>
  <c r="I5" i="36"/>
  <c r="J6" i="36" s="1"/>
  <c r="AN4" i="36"/>
  <c r="AC4" i="36"/>
  <c r="S4" i="36"/>
  <c r="AN3" i="36"/>
  <c r="AC3" i="36"/>
  <c r="S3" i="36"/>
  <c r="AN2" i="36"/>
  <c r="AK2" i="36"/>
  <c r="AC2" i="36"/>
  <c r="S2" i="36"/>
  <c r="AN53" i="35"/>
  <c r="AN52" i="35"/>
  <c r="AN51" i="35"/>
  <c r="AN50" i="35"/>
  <c r="AN49" i="35"/>
  <c r="AN48" i="35"/>
  <c r="AN47" i="35"/>
  <c r="AE47" i="35"/>
  <c r="X47" i="35"/>
  <c r="AN46" i="35"/>
  <c r="AK46" i="35"/>
  <c r="AN45" i="35"/>
  <c r="AN44" i="35"/>
  <c r="AN43" i="35"/>
  <c r="AN42" i="35"/>
  <c r="AN41" i="35"/>
  <c r="AK41" i="35"/>
  <c r="U40" i="35"/>
  <c r="V40" i="35" s="1"/>
  <c r="W40" i="35" s="1"/>
  <c r="X40" i="35" s="1"/>
  <c r="Y40" i="35" s="1"/>
  <c r="Z40" i="35" s="1"/>
  <c r="AB40" i="35" s="1"/>
  <c r="AC40" i="35" s="1"/>
  <c r="AD40" i="35" s="1"/>
  <c r="AE40" i="35" s="1"/>
  <c r="AF40" i="35" s="1"/>
  <c r="AG40" i="35" s="1"/>
  <c r="AI40" i="35" s="1"/>
  <c r="AJ40" i="35" s="1"/>
  <c r="AK40" i="35" s="1"/>
  <c r="AC33" i="35"/>
  <c r="V33" i="35"/>
  <c r="AC32" i="35"/>
  <c r="V32" i="35"/>
  <c r="AC30" i="35"/>
  <c r="V30" i="35"/>
  <c r="AC29" i="35"/>
  <c r="V29" i="35"/>
  <c r="AC28" i="35"/>
  <c r="V28" i="35"/>
  <c r="AC27" i="35"/>
  <c r="V27" i="35"/>
  <c r="S25" i="35"/>
  <c r="S24" i="35"/>
  <c r="AE16" i="35"/>
  <c r="AN13" i="35"/>
  <c r="AN12" i="35"/>
  <c r="AN11" i="35"/>
  <c r="AN10" i="35"/>
  <c r="AN9" i="35"/>
  <c r="AN8" i="35"/>
  <c r="AE8" i="35"/>
  <c r="X8" i="35"/>
  <c r="AN7" i="35"/>
  <c r="AK7" i="35"/>
  <c r="AN6" i="35"/>
  <c r="AN5" i="35"/>
  <c r="AN4" i="35"/>
  <c r="AC4" i="35"/>
  <c r="S4" i="35"/>
  <c r="I5" i="35" s="1"/>
  <c r="AN3" i="35"/>
  <c r="AC3" i="35"/>
  <c r="S3" i="35"/>
  <c r="AN2" i="35"/>
  <c r="AK2" i="35"/>
  <c r="AC2" i="35"/>
  <c r="S2" i="35"/>
  <c r="F8" i="34"/>
  <c r="E8" i="34"/>
  <c r="F7" i="34"/>
  <c r="E7" i="34"/>
  <c r="G28" i="33"/>
  <c r="G27" i="33"/>
  <c r="G26" i="33"/>
  <c r="D23" i="33"/>
  <c r="D14" i="33"/>
  <c r="D13" i="33"/>
  <c r="D11" i="33"/>
  <c r="D10" i="33"/>
  <c r="D9" i="33"/>
  <c r="D7" i="33"/>
  <c r="D6" i="33"/>
  <c r="D4" i="33"/>
  <c r="D3" i="33"/>
  <c r="F21" i="32"/>
  <c r="H19" i="32"/>
  <c r="G19" i="32"/>
  <c r="F19" i="32"/>
  <c r="H14" i="32"/>
  <c r="G14" i="32"/>
  <c r="G11" i="32"/>
  <c r="G10" i="32"/>
  <c r="G9" i="32"/>
  <c r="D6" i="32"/>
  <c r="F2" i="32"/>
  <c r="I14" i="31"/>
  <c r="G14" i="31"/>
  <c r="G11" i="31"/>
  <c r="G10" i="31"/>
  <c r="G9" i="31"/>
  <c r="D6" i="31"/>
  <c r="E13" i="29"/>
  <c r="H12" i="29"/>
  <c r="E12" i="29"/>
  <c r="D6" i="29"/>
  <c r="D15" i="28"/>
  <c r="R24" i="27"/>
  <c r="O18" i="27"/>
  <c r="P18" i="27" s="1"/>
  <c r="Q18" i="27" s="1"/>
  <c r="R18" i="27" s="1"/>
  <c r="S18" i="27" s="1"/>
  <c r="T18" i="27" s="1"/>
  <c r="V18" i="27" s="1"/>
  <c r="X18" i="27" s="1"/>
  <c r="O10" i="27"/>
  <c r="O9" i="27"/>
  <c r="O8" i="27"/>
  <c r="O7" i="27"/>
  <c r="AA32" i="26"/>
  <c r="AA31" i="26"/>
  <c r="AA30" i="26"/>
  <c r="AA29" i="26"/>
  <c r="AA28" i="26"/>
  <c r="AA27" i="26"/>
  <c r="AA26" i="26"/>
  <c r="R26" i="26"/>
  <c r="AA25" i="26"/>
  <c r="AA24" i="26"/>
  <c r="AA23" i="26"/>
  <c r="F23" i="26"/>
  <c r="G24" i="26" s="1"/>
  <c r="AA22" i="26"/>
  <c r="O22" i="26"/>
  <c r="L22" i="26"/>
  <c r="AA21" i="26"/>
  <c r="O21" i="26"/>
  <c r="L21" i="26"/>
  <c r="AA20" i="26"/>
  <c r="O20" i="26"/>
  <c r="L20" i="26"/>
  <c r="AA19" i="26"/>
  <c r="O19" i="26"/>
  <c r="L19" i="26"/>
  <c r="Q18" i="26"/>
  <c r="R18" i="26" s="1"/>
  <c r="S18" i="26" s="1"/>
  <c r="T18" i="26" s="1"/>
  <c r="V18" i="26" s="1"/>
  <c r="W18" i="26" s="1"/>
  <c r="X18" i="26" s="1"/>
  <c r="N18" i="26"/>
  <c r="O18" i="26" s="1"/>
  <c r="O11" i="26"/>
  <c r="O10" i="26"/>
  <c r="O9" i="26"/>
  <c r="O8" i="26"/>
  <c r="L6" i="26"/>
  <c r="AA32" i="25"/>
  <c r="AA31" i="25"/>
  <c r="AA30" i="25"/>
  <c r="AA29" i="25"/>
  <c r="AA28" i="25"/>
  <c r="AA27" i="25"/>
  <c r="AA26" i="25"/>
  <c r="R26" i="25"/>
  <c r="AA25" i="25"/>
  <c r="AA24" i="25"/>
  <c r="AA23" i="25"/>
  <c r="F23" i="25"/>
  <c r="G24" i="25" s="1"/>
  <c r="AA22" i="25"/>
  <c r="O22" i="25"/>
  <c r="L22" i="25"/>
  <c r="AA21" i="25"/>
  <c r="O21" i="25"/>
  <c r="L21" i="25"/>
  <c r="AA20" i="25"/>
  <c r="O20" i="25"/>
  <c r="L20" i="25"/>
  <c r="AA19" i="25"/>
  <c r="O19" i="25"/>
  <c r="L19" i="25"/>
  <c r="Q18" i="25"/>
  <c r="R18" i="25" s="1"/>
  <c r="S18" i="25" s="1"/>
  <c r="T18" i="25" s="1"/>
  <c r="V18" i="25" s="1"/>
  <c r="W18" i="25" s="1"/>
  <c r="X18" i="25" s="1"/>
  <c r="N18" i="25"/>
  <c r="O18" i="25" s="1"/>
  <c r="O11" i="25"/>
  <c r="O10" i="25"/>
  <c r="O9" i="25"/>
  <c r="O8" i="25"/>
  <c r="L6" i="25"/>
  <c r="AA32" i="24"/>
  <c r="AA31" i="24"/>
  <c r="AA30" i="24"/>
  <c r="AA29" i="24"/>
  <c r="AA28" i="24"/>
  <c r="AA27" i="24"/>
  <c r="AA26" i="24"/>
  <c r="R26" i="24"/>
  <c r="AA25" i="24"/>
  <c r="AA24" i="24"/>
  <c r="AA23" i="24"/>
  <c r="AA22" i="24"/>
  <c r="AA21" i="24"/>
  <c r="AA20" i="24"/>
  <c r="AA19" i="24"/>
  <c r="Q18" i="24"/>
  <c r="R18" i="24" s="1"/>
  <c r="S18" i="24" s="1"/>
  <c r="T18" i="24" s="1"/>
  <c r="V18" i="24" s="1"/>
  <c r="W18" i="24" s="1"/>
  <c r="X18" i="24" s="1"/>
  <c r="N18" i="24"/>
  <c r="O18" i="24" s="1"/>
  <c r="O11" i="24"/>
  <c r="O10" i="24"/>
  <c r="O9" i="24"/>
  <c r="O8" i="24"/>
  <c r="L6" i="24"/>
  <c r="AX62" i="23"/>
  <c r="AX61" i="23"/>
  <c r="AX60" i="23"/>
  <c r="AX59" i="23"/>
  <c r="AX58" i="23"/>
  <c r="AX57" i="23"/>
  <c r="AX56" i="23"/>
  <c r="AX55" i="23"/>
  <c r="AX54" i="23"/>
  <c r="AO54" i="23"/>
  <c r="W54" i="23"/>
  <c r="AX51" i="23"/>
  <c r="AX50" i="23"/>
  <c r="AX49" i="23"/>
  <c r="AX48" i="23"/>
  <c r="AX47" i="23"/>
  <c r="AX46" i="23"/>
  <c r="AX45" i="23"/>
  <c r="AN44" i="23"/>
  <c r="AO44" i="23" s="1"/>
  <c r="AP44" i="23" s="1"/>
  <c r="AQ44" i="23" s="1"/>
  <c r="AS44" i="23" s="1"/>
  <c r="AT44" i="23" s="1"/>
  <c r="AU44" i="23" s="1"/>
  <c r="U44" i="23"/>
  <c r="V44" i="23" s="1"/>
  <c r="W44" i="23" s="1"/>
  <c r="X44" i="23" s="1"/>
  <c r="Y44" i="23" s="1"/>
  <c r="AA44" i="23" s="1"/>
  <c r="AB44" i="23" s="1"/>
  <c r="AB36" i="23"/>
  <c r="AB35" i="23"/>
  <c r="AB33" i="23"/>
  <c r="AB32" i="23"/>
  <c r="AB31" i="23"/>
  <c r="AB30" i="23"/>
  <c r="S28" i="23"/>
  <c r="S27" i="23"/>
  <c r="AX17" i="23"/>
  <c r="AX16" i="23"/>
  <c r="AX15" i="23"/>
  <c r="AX14" i="23"/>
  <c r="AX13" i="23"/>
  <c r="AX12" i="23"/>
  <c r="AX11" i="23"/>
  <c r="AO11" i="23"/>
  <c r="W11" i="23"/>
  <c r="AX8" i="23"/>
  <c r="K8" i="23"/>
  <c r="S8" i="23" s="1"/>
  <c r="AX7" i="23"/>
  <c r="J7" i="23"/>
  <c r="AX6" i="23"/>
  <c r="I6" i="23"/>
  <c r="AX5" i="23"/>
  <c r="AB5" i="23"/>
  <c r="S5" i="23"/>
  <c r="AX4" i="23"/>
  <c r="AB4" i="23"/>
  <c r="S4" i="23"/>
  <c r="AX3" i="23"/>
  <c r="AB3" i="23"/>
  <c r="S3" i="23"/>
  <c r="AX2" i="23"/>
  <c r="AB2" i="23"/>
  <c r="S2" i="23"/>
  <c r="AT65" i="22"/>
  <c r="AT64" i="22"/>
  <c r="AT63" i="22"/>
  <c r="AT62" i="22"/>
  <c r="AT61" i="22"/>
  <c r="AT60" i="22"/>
  <c r="AT59" i="22"/>
  <c r="AT58" i="22"/>
  <c r="AT57" i="22"/>
  <c r="AK57" i="22"/>
  <c r="AB57" i="22"/>
  <c r="AT56" i="22"/>
  <c r="AT55" i="22"/>
  <c r="AT54" i="22"/>
  <c r="AT53" i="22"/>
  <c r="AT52" i="22"/>
  <c r="AT51" i="22"/>
  <c r="AT50" i="22"/>
  <c r="AT49" i="22"/>
  <c r="AQ49" i="22"/>
  <c r="AJ48" i="22"/>
  <c r="AK48" i="22" s="1"/>
  <c r="AL48" i="22" s="1"/>
  <c r="AM48" i="22" s="1"/>
  <c r="AO48" i="22" s="1"/>
  <c r="AP48" i="22" s="1"/>
  <c r="AQ48" i="22" s="1"/>
  <c r="AA48" i="22"/>
  <c r="AB48" i="22" s="1"/>
  <c r="AC48" i="22" s="1"/>
  <c r="AD48" i="22" s="1"/>
  <c r="AF48" i="22" s="1"/>
  <c r="AG48" i="22" s="1"/>
  <c r="W48" i="22"/>
  <c r="X48" i="22" s="1"/>
  <c r="AG39" i="22"/>
  <c r="X39" i="22"/>
  <c r="AG38" i="22"/>
  <c r="X38" i="22"/>
  <c r="AG36" i="22"/>
  <c r="X36" i="22"/>
  <c r="AG35" i="22"/>
  <c r="X35" i="22"/>
  <c r="AG34" i="22"/>
  <c r="X34" i="22"/>
  <c r="AG33" i="22"/>
  <c r="X33" i="22"/>
  <c r="U31" i="22"/>
  <c r="U30" i="22"/>
  <c r="AK22" i="22"/>
  <c r="AT17" i="22"/>
  <c r="AT16" i="22"/>
  <c r="AT15" i="22"/>
  <c r="AT14" i="22"/>
  <c r="AT13" i="22"/>
  <c r="AT12" i="22"/>
  <c r="AT10" i="22"/>
  <c r="AK10" i="22"/>
  <c r="AB10" i="22"/>
  <c r="AT8" i="22"/>
  <c r="AT7" i="22"/>
  <c r="AT6" i="22"/>
  <c r="AT5" i="22"/>
  <c r="AG5" i="22"/>
  <c r="U5" i="22"/>
  <c r="I6" i="22" s="1"/>
  <c r="J7" i="22" s="1"/>
  <c r="AT4" i="22"/>
  <c r="AG4" i="22"/>
  <c r="U4" i="22"/>
  <c r="AT3" i="22"/>
  <c r="AG3" i="22"/>
  <c r="U3" i="22"/>
  <c r="AT2" i="22"/>
  <c r="AG2" i="22"/>
  <c r="U2" i="22"/>
  <c r="AP57" i="21"/>
  <c r="AP56" i="21"/>
  <c r="AP55" i="21"/>
  <c r="AP54" i="21"/>
  <c r="AP53" i="21"/>
  <c r="AP52" i="21"/>
  <c r="AP51" i="21"/>
  <c r="AP50" i="21"/>
  <c r="AG50" i="21"/>
  <c r="Y50" i="21"/>
  <c r="AP49" i="21"/>
  <c r="AP48" i="21"/>
  <c r="AP47" i="21"/>
  <c r="AP46" i="21"/>
  <c r="AP45" i="21"/>
  <c r="AP44" i="21"/>
  <c r="AP43" i="21"/>
  <c r="AF42" i="21"/>
  <c r="AG42" i="21" s="1"/>
  <c r="AH42" i="21" s="1"/>
  <c r="AI42" i="21" s="1"/>
  <c r="AK42" i="21" s="1"/>
  <c r="AL42" i="21" s="1"/>
  <c r="AM42" i="21" s="1"/>
  <c r="X42" i="21"/>
  <c r="Y42" i="21" s="1"/>
  <c r="Z42" i="21" s="1"/>
  <c r="AA42" i="21" s="1"/>
  <c r="AC42" i="21" s="1"/>
  <c r="AD42" i="21" s="1"/>
  <c r="U42" i="21"/>
  <c r="V42" i="21" s="1"/>
  <c r="AD35" i="21"/>
  <c r="V35" i="21"/>
  <c r="AD34" i="21"/>
  <c r="V34" i="21"/>
  <c r="AD32" i="21"/>
  <c r="V32" i="21"/>
  <c r="AD31" i="21"/>
  <c r="V31" i="21"/>
  <c r="AD30" i="21"/>
  <c r="V30" i="21"/>
  <c r="AD29" i="21"/>
  <c r="V29" i="21"/>
  <c r="S27" i="21"/>
  <c r="S26" i="21"/>
  <c r="AG18" i="21"/>
  <c r="AP15" i="21"/>
  <c r="AP14" i="21"/>
  <c r="AP13" i="21"/>
  <c r="AP12" i="21"/>
  <c r="AP11" i="21"/>
  <c r="AP10" i="21"/>
  <c r="AP9" i="21"/>
  <c r="AG9" i="21"/>
  <c r="Y9" i="21"/>
  <c r="AP8" i="21"/>
  <c r="AP7" i="21"/>
  <c r="AP6" i="21"/>
  <c r="I6" i="21"/>
  <c r="J7" i="21" s="1"/>
  <c r="AP5" i="21"/>
  <c r="AD5" i="21"/>
  <c r="S5" i="21"/>
  <c r="AP4" i="21"/>
  <c r="AD4" i="21"/>
  <c r="S4" i="21"/>
  <c r="AP3" i="21"/>
  <c r="AD3" i="21"/>
  <c r="S3" i="21"/>
  <c r="AP2" i="21"/>
  <c r="AD2" i="21"/>
  <c r="S2" i="21"/>
  <c r="AP57" i="20"/>
  <c r="AP56" i="20"/>
  <c r="AP55" i="20"/>
  <c r="AP54" i="20"/>
  <c r="AP53" i="20"/>
  <c r="AP52" i="20"/>
  <c r="AP51" i="20"/>
  <c r="AP50" i="20"/>
  <c r="AG50" i="20"/>
  <c r="Y50" i="20"/>
  <c r="AP49" i="20"/>
  <c r="AP48" i="20"/>
  <c r="AP47" i="20"/>
  <c r="AP46" i="20"/>
  <c r="AP45" i="20"/>
  <c r="AP44" i="20"/>
  <c r="AP43" i="20"/>
  <c r="AF42" i="20"/>
  <c r="AG42" i="20" s="1"/>
  <c r="AH42" i="20" s="1"/>
  <c r="AI42" i="20" s="1"/>
  <c r="AK42" i="20" s="1"/>
  <c r="AL42" i="20" s="1"/>
  <c r="AM42" i="20" s="1"/>
  <c r="X42" i="20"/>
  <c r="Y42" i="20" s="1"/>
  <c r="Z42" i="20" s="1"/>
  <c r="AA42" i="20" s="1"/>
  <c r="AC42" i="20" s="1"/>
  <c r="AD42" i="20" s="1"/>
  <c r="U42" i="20"/>
  <c r="V42" i="20" s="1"/>
  <c r="AD35" i="20"/>
  <c r="V35" i="20"/>
  <c r="AD34" i="20"/>
  <c r="V34" i="20"/>
  <c r="AD32" i="20"/>
  <c r="V32" i="20"/>
  <c r="AD31" i="20"/>
  <c r="V31" i="20"/>
  <c r="AD30" i="20"/>
  <c r="V30" i="20"/>
  <c r="AD29" i="20"/>
  <c r="V29" i="20"/>
  <c r="S27" i="20"/>
  <c r="S26" i="20"/>
  <c r="AG18" i="20"/>
  <c r="AP15" i="20"/>
  <c r="AP14" i="20"/>
  <c r="AP13" i="20"/>
  <c r="AP12" i="20"/>
  <c r="AP11" i="20"/>
  <c r="AP10" i="20"/>
  <c r="AP9" i="20"/>
  <c r="AG9" i="20"/>
  <c r="Y9" i="20"/>
  <c r="AP8" i="20"/>
  <c r="AP7" i="20"/>
  <c r="AP6" i="20"/>
  <c r="AP5" i="20"/>
  <c r="AD5" i="20"/>
  <c r="S5" i="20"/>
  <c r="I6" i="20" s="1"/>
  <c r="J7" i="20" s="1"/>
  <c r="AP4" i="20"/>
  <c r="AD4" i="20"/>
  <c r="S4" i="20"/>
  <c r="AP3" i="20"/>
  <c r="AD3" i="20"/>
  <c r="S3" i="20"/>
  <c r="AP2" i="20"/>
  <c r="AD2" i="20"/>
  <c r="S2" i="20"/>
  <c r="AP57" i="19"/>
  <c r="AP56" i="19"/>
  <c r="AP55" i="19"/>
  <c r="AP54" i="19"/>
  <c r="AP53" i="19"/>
  <c r="AP52" i="19"/>
  <c r="AP51" i="19"/>
  <c r="AP50" i="19"/>
  <c r="AG50" i="19"/>
  <c r="Y50" i="19"/>
  <c r="AP49" i="19"/>
  <c r="AP48" i="19"/>
  <c r="AP47" i="19"/>
  <c r="AP46" i="19"/>
  <c r="AP45" i="19"/>
  <c r="AP44" i="19"/>
  <c r="AP43" i="19"/>
  <c r="AF42" i="19"/>
  <c r="AG42" i="19" s="1"/>
  <c r="AH42" i="19" s="1"/>
  <c r="AI42" i="19" s="1"/>
  <c r="AK42" i="19" s="1"/>
  <c r="AL42" i="19" s="1"/>
  <c r="AM42" i="19" s="1"/>
  <c r="X42" i="19"/>
  <c r="Y42" i="19" s="1"/>
  <c r="Z42" i="19" s="1"/>
  <c r="AA42" i="19" s="1"/>
  <c r="AC42" i="19" s="1"/>
  <c r="AD42" i="19" s="1"/>
  <c r="U42" i="19"/>
  <c r="V42" i="19" s="1"/>
  <c r="AD35" i="19"/>
  <c r="V35" i="19"/>
  <c r="AD34" i="19"/>
  <c r="V34" i="19"/>
  <c r="AD32" i="19"/>
  <c r="V32" i="19"/>
  <c r="AD31" i="19"/>
  <c r="V31" i="19"/>
  <c r="AD30" i="19"/>
  <c r="V30" i="19"/>
  <c r="AD29" i="19"/>
  <c r="V29" i="19"/>
  <c r="S27" i="19"/>
  <c r="S26" i="19"/>
  <c r="AG18" i="19"/>
  <c r="AP15" i="19"/>
  <c r="AP14" i="19"/>
  <c r="AP13" i="19"/>
  <c r="AP12" i="19"/>
  <c r="AP11" i="19"/>
  <c r="AP10" i="19"/>
  <c r="AP9" i="19"/>
  <c r="AG9" i="19"/>
  <c r="Y9" i="19"/>
  <c r="AP8" i="19"/>
  <c r="AP7" i="19"/>
  <c r="AP6" i="19"/>
  <c r="I6" i="19"/>
  <c r="J7" i="19" s="1"/>
  <c r="AP5" i="19"/>
  <c r="AD5" i="19"/>
  <c r="S5" i="19"/>
  <c r="AP4" i="19"/>
  <c r="AD4" i="19"/>
  <c r="S4" i="19"/>
  <c r="AP3" i="19"/>
  <c r="AD3" i="19"/>
  <c r="S3" i="19"/>
  <c r="AP2" i="19"/>
  <c r="AD2" i="19"/>
  <c r="S2" i="19"/>
  <c r="AP57" i="18"/>
  <c r="AP56" i="18"/>
  <c r="AP55" i="18"/>
  <c r="AP54" i="18"/>
  <c r="AP53" i="18"/>
  <c r="AP52" i="18"/>
  <c r="AP51" i="18"/>
  <c r="AP50" i="18"/>
  <c r="AG50" i="18"/>
  <c r="Y50" i="18"/>
  <c r="AP49" i="18"/>
  <c r="AP48" i="18"/>
  <c r="AP47" i="18"/>
  <c r="AP46" i="18"/>
  <c r="AP45" i="18"/>
  <c r="AP44" i="18"/>
  <c r="AP43" i="18"/>
  <c r="AF42" i="18"/>
  <c r="AG42" i="18" s="1"/>
  <c r="AH42" i="18" s="1"/>
  <c r="AI42" i="18" s="1"/>
  <c r="AK42" i="18" s="1"/>
  <c r="AL42" i="18" s="1"/>
  <c r="AM42" i="18" s="1"/>
  <c r="X42" i="18"/>
  <c r="Y42" i="18" s="1"/>
  <c r="Z42" i="18" s="1"/>
  <c r="AA42" i="18" s="1"/>
  <c r="AC42" i="18" s="1"/>
  <c r="AD42" i="18" s="1"/>
  <c r="U42" i="18"/>
  <c r="V42" i="18" s="1"/>
  <c r="AD35" i="18"/>
  <c r="V35" i="18"/>
  <c r="AD34" i="18"/>
  <c r="V34" i="18"/>
  <c r="AD32" i="18"/>
  <c r="V32" i="18"/>
  <c r="AD31" i="18"/>
  <c r="V31" i="18"/>
  <c r="AD30" i="18"/>
  <c r="V30" i="18"/>
  <c r="AD29" i="18"/>
  <c r="V29" i="18"/>
  <c r="S27" i="18"/>
  <c r="S26" i="18"/>
  <c r="AG18" i="18"/>
  <c r="AP15" i="18"/>
  <c r="AP14" i="18"/>
  <c r="AP13" i="18"/>
  <c r="AP12" i="18"/>
  <c r="AP11" i="18"/>
  <c r="AP10" i="18"/>
  <c r="AP9" i="18"/>
  <c r="AG9" i="18"/>
  <c r="Y9" i="18"/>
  <c r="AP8" i="18"/>
  <c r="AP7" i="18"/>
  <c r="AP6" i="18"/>
  <c r="AP5" i="18"/>
  <c r="AD5" i="18"/>
  <c r="S5" i="18"/>
  <c r="I6" i="18" s="1"/>
  <c r="AP4" i="18"/>
  <c r="AD4" i="18"/>
  <c r="S4" i="18"/>
  <c r="AP3" i="18"/>
  <c r="AD3" i="18"/>
  <c r="S3" i="18"/>
  <c r="AP2" i="18"/>
  <c r="AD2" i="18"/>
  <c r="S2" i="18"/>
  <c r="AP57" i="17"/>
  <c r="AP56" i="17"/>
  <c r="AP55" i="17"/>
  <c r="AP54" i="17"/>
  <c r="AP53" i="17"/>
  <c r="AP52" i="17"/>
  <c r="AP51" i="17"/>
  <c r="AP50" i="17"/>
  <c r="AG50" i="17"/>
  <c r="Y50" i="17"/>
  <c r="AP49" i="17"/>
  <c r="AP48" i="17"/>
  <c r="AP47" i="17"/>
  <c r="AP46" i="17"/>
  <c r="AP45" i="17"/>
  <c r="AP44" i="17"/>
  <c r="AP43" i="17"/>
  <c r="AF42" i="17"/>
  <c r="AG42" i="17" s="1"/>
  <c r="AH42" i="17" s="1"/>
  <c r="AI42" i="17" s="1"/>
  <c r="AK42" i="17" s="1"/>
  <c r="AL42" i="17" s="1"/>
  <c r="AM42" i="17" s="1"/>
  <c r="X42" i="17"/>
  <c r="Y42" i="17" s="1"/>
  <c r="Z42" i="17" s="1"/>
  <c r="AA42" i="17" s="1"/>
  <c r="AC42" i="17" s="1"/>
  <c r="AD42" i="17" s="1"/>
  <c r="U42" i="17"/>
  <c r="V42" i="17" s="1"/>
  <c r="AD35" i="17"/>
  <c r="V35" i="17"/>
  <c r="AD34" i="17"/>
  <c r="V34" i="17"/>
  <c r="AD32" i="17"/>
  <c r="V32" i="17"/>
  <c r="AD31" i="17"/>
  <c r="V31" i="17"/>
  <c r="AD30" i="17"/>
  <c r="V30" i="17"/>
  <c r="AD29" i="17"/>
  <c r="V29" i="17"/>
  <c r="S27" i="17"/>
  <c r="S26" i="17"/>
  <c r="AG18" i="17"/>
  <c r="AP15" i="17"/>
  <c r="AP14" i="17"/>
  <c r="AP13" i="17"/>
  <c r="AP12" i="17"/>
  <c r="AP11" i="17"/>
  <c r="AP10" i="17"/>
  <c r="AP9" i="17"/>
  <c r="AG9" i="17"/>
  <c r="Y9" i="17"/>
  <c r="AP8" i="17"/>
  <c r="AP7" i="17"/>
  <c r="AP6" i="17"/>
  <c r="I6" i="17"/>
  <c r="J7" i="17" s="1"/>
  <c r="AP5" i="17"/>
  <c r="AD5" i="17"/>
  <c r="S5" i="17"/>
  <c r="AP4" i="17"/>
  <c r="AD4" i="17"/>
  <c r="S4" i="17"/>
  <c r="AP3" i="17"/>
  <c r="AD3" i="17"/>
  <c r="S3" i="17"/>
  <c r="AP2" i="17"/>
  <c r="AD2" i="17"/>
  <c r="S2" i="17"/>
  <c r="AP57" i="16"/>
  <c r="AP56" i="16"/>
  <c r="AP55" i="16"/>
  <c r="AP54" i="16"/>
  <c r="AP53" i="16"/>
  <c r="AP52" i="16"/>
  <c r="AP51" i="16"/>
  <c r="AP50" i="16"/>
  <c r="AG50" i="16"/>
  <c r="Y50" i="16"/>
  <c r="AP49" i="16"/>
  <c r="AP48" i="16"/>
  <c r="AP47" i="16"/>
  <c r="AP46" i="16"/>
  <c r="AP45" i="16"/>
  <c r="AP44" i="16"/>
  <c r="AP43" i="16"/>
  <c r="AM43" i="16"/>
  <c r="AF42" i="16"/>
  <c r="AG42" i="16" s="1"/>
  <c r="AH42" i="16" s="1"/>
  <c r="AI42" i="16" s="1"/>
  <c r="AK42" i="16" s="1"/>
  <c r="AL42" i="16" s="1"/>
  <c r="AM42" i="16" s="1"/>
  <c r="X42" i="16"/>
  <c r="Y42" i="16" s="1"/>
  <c r="Z42" i="16" s="1"/>
  <c r="AA42" i="16" s="1"/>
  <c r="AC42" i="16" s="1"/>
  <c r="AD42" i="16" s="1"/>
  <c r="U42" i="16"/>
  <c r="V42" i="16" s="1"/>
  <c r="AD35" i="16"/>
  <c r="V35" i="16"/>
  <c r="AD34" i="16"/>
  <c r="V34" i="16"/>
  <c r="AD32" i="16"/>
  <c r="V32" i="16"/>
  <c r="AD31" i="16"/>
  <c r="V31" i="16"/>
  <c r="AD30" i="16"/>
  <c r="V30" i="16"/>
  <c r="AD29" i="16"/>
  <c r="V29" i="16"/>
  <c r="S27" i="16"/>
  <c r="S26" i="16"/>
  <c r="AG18" i="16"/>
  <c r="AP15" i="16"/>
  <c r="AP14" i="16"/>
  <c r="AP13" i="16"/>
  <c r="AP12" i="16"/>
  <c r="AP11" i="16"/>
  <c r="AP10" i="16"/>
  <c r="AP9" i="16"/>
  <c r="AG9" i="16"/>
  <c r="Y9" i="16"/>
  <c r="AP8" i="16"/>
  <c r="AP7" i="16"/>
  <c r="AP6" i="16"/>
  <c r="I6" i="16"/>
  <c r="J7" i="16" s="1"/>
  <c r="AP5" i="16"/>
  <c r="AD5" i="16"/>
  <c r="S5" i="16"/>
  <c r="AP4" i="16"/>
  <c r="AD4" i="16"/>
  <c r="S4" i="16"/>
  <c r="AP3" i="16"/>
  <c r="AD3" i="16"/>
  <c r="S3" i="16"/>
  <c r="AP2" i="16"/>
  <c r="AD2" i="16"/>
  <c r="S2" i="16"/>
  <c r="G14" i="15"/>
  <c r="E13" i="15"/>
  <c r="D6" i="15"/>
  <c r="V190" i="14"/>
  <c r="N175" i="14"/>
  <c r="N170" i="14"/>
  <c r="N164" i="14"/>
  <c r="N153" i="14"/>
  <c r="N148" i="14"/>
  <c r="N142" i="14"/>
  <c r="R127" i="14"/>
  <c r="Q127" i="14"/>
  <c r="Q118" i="14"/>
  <c r="H117" i="14"/>
  <c r="H116" i="14"/>
  <c r="H115" i="14"/>
  <c r="Q109" i="14"/>
  <c r="Q106" i="14"/>
  <c r="H105" i="14"/>
  <c r="H104" i="14"/>
  <c r="H103" i="14"/>
  <c r="F97" i="14"/>
  <c r="AD91" i="14"/>
  <c r="AD85" i="14"/>
  <c r="AD80" i="14"/>
  <c r="AD72" i="14"/>
  <c r="F69" i="14"/>
  <c r="P60" i="14"/>
  <c r="I25" i="14"/>
  <c r="I19" i="14"/>
  <c r="O14" i="14"/>
  <c r="M14" i="14" a="1"/>
  <c r="M14" i="14" s="1"/>
  <c r="F14" i="14"/>
  <c r="E14" i="14"/>
  <c r="E13" i="14"/>
  <c r="G13" i="14" s="1"/>
  <c r="I53" i="13"/>
  <c r="H53" i="13"/>
  <c r="G53" i="13"/>
  <c r="I52" i="13"/>
  <c r="H52" i="13"/>
  <c r="G52" i="13"/>
  <c r="I51" i="13"/>
  <c r="H51" i="13"/>
  <c r="G51" i="13"/>
  <c r="I50" i="13"/>
  <c r="H50" i="13"/>
  <c r="G50" i="13"/>
  <c r="I49" i="13"/>
  <c r="H49" i="13"/>
  <c r="G49" i="13"/>
  <c r="I48" i="13"/>
  <c r="I45" i="13" s="1"/>
  <c r="H48" i="13"/>
  <c r="G48" i="13"/>
  <c r="I47" i="13"/>
  <c r="H47" i="13"/>
  <c r="G47" i="13"/>
  <c r="I46" i="13"/>
  <c r="K45" i="13"/>
  <c r="J45" i="13"/>
  <c r="G36" i="13"/>
  <c r="F36" i="13"/>
  <c r="E16" i="15" s="1"/>
  <c r="F32" i="13"/>
  <c r="E32" i="13"/>
  <c r="F29" i="13"/>
  <c r="E29" i="13"/>
  <c r="U148" i="12"/>
  <c r="M148" i="12" s="1"/>
  <c r="E12" i="15" s="1"/>
  <c r="N101" i="12"/>
  <c r="J131" i="40" s="1"/>
  <c r="L101" i="12"/>
  <c r="E131" i="40" s="1"/>
  <c r="K101" i="12"/>
  <c r="J101" i="12"/>
  <c r="M101" i="12" s="1"/>
  <c r="F131" i="40" s="1"/>
  <c r="I101" i="12"/>
  <c r="N100" i="12"/>
  <c r="J130" i="40" s="1"/>
  <c r="L100" i="12"/>
  <c r="E130" i="40" s="1"/>
  <c r="K100" i="12"/>
  <c r="J100" i="12"/>
  <c r="M100" i="12" s="1"/>
  <c r="F130" i="40" s="1"/>
  <c r="I100" i="12"/>
  <c r="N99" i="12"/>
  <c r="J129" i="40" s="1"/>
  <c r="L99" i="12"/>
  <c r="E129" i="40" s="1"/>
  <c r="K99" i="12"/>
  <c r="J99" i="12"/>
  <c r="M99" i="12" s="1"/>
  <c r="F129" i="40" s="1"/>
  <c r="I99" i="12"/>
  <c r="N98" i="12"/>
  <c r="J128" i="40" s="1"/>
  <c r="L98" i="12"/>
  <c r="E128" i="40" s="1"/>
  <c r="K98" i="12"/>
  <c r="J98" i="12"/>
  <c r="M98" i="12" s="1"/>
  <c r="F128" i="40" s="1"/>
  <c r="I98" i="12"/>
  <c r="N97" i="12"/>
  <c r="J127" i="40" s="1"/>
  <c r="L97" i="12"/>
  <c r="E127" i="40" s="1"/>
  <c r="K97" i="12"/>
  <c r="J97" i="12"/>
  <c r="M97" i="12" s="1"/>
  <c r="F127" i="40" s="1"/>
  <c r="I97" i="12"/>
  <c r="N96" i="12"/>
  <c r="J124" i="40" s="1"/>
  <c r="L96" i="12"/>
  <c r="E124" i="40" s="1"/>
  <c r="E125" i="40" s="1"/>
  <c r="K96" i="12"/>
  <c r="J96" i="12"/>
  <c r="M96" i="12" s="1"/>
  <c r="F124" i="40" s="1"/>
  <c r="I96" i="12"/>
  <c r="N95" i="12"/>
  <c r="J121" i="40" s="1"/>
  <c r="L95" i="12"/>
  <c r="E121" i="40" s="1"/>
  <c r="E122" i="40" s="1"/>
  <c r="K95" i="12"/>
  <c r="J95" i="12"/>
  <c r="M95" i="12" s="1"/>
  <c r="F121" i="40" s="1"/>
  <c r="I95" i="12"/>
  <c r="N94" i="12"/>
  <c r="J118" i="40" s="1"/>
  <c r="L94" i="12"/>
  <c r="E118" i="40" s="1"/>
  <c r="E119" i="40" s="1"/>
  <c r="K94" i="12"/>
  <c r="J94" i="12"/>
  <c r="M94" i="12" s="1"/>
  <c r="F118" i="40" s="1"/>
  <c r="I94" i="12"/>
  <c r="N93" i="12"/>
  <c r="J117" i="40" s="1"/>
  <c r="L93" i="12"/>
  <c r="E117" i="40" s="1"/>
  <c r="K93" i="12"/>
  <c r="J93" i="12"/>
  <c r="M93" i="12" s="1"/>
  <c r="F117" i="40" s="1"/>
  <c r="I93" i="12"/>
  <c r="N92" i="12"/>
  <c r="J116" i="40" s="1"/>
  <c r="L92" i="12"/>
  <c r="E116" i="40" s="1"/>
  <c r="K92" i="12"/>
  <c r="J92" i="12"/>
  <c r="M92" i="12" s="1"/>
  <c r="F116" i="40" s="1"/>
  <c r="I92" i="12"/>
  <c r="N91" i="12"/>
  <c r="J115" i="40" s="1"/>
  <c r="L91" i="12"/>
  <c r="E115" i="40" s="1"/>
  <c r="K91" i="12"/>
  <c r="J91" i="12"/>
  <c r="M91" i="12" s="1"/>
  <c r="F115" i="40" s="1"/>
  <c r="I91" i="12"/>
  <c r="N90" i="12"/>
  <c r="J114" i="40" s="1"/>
  <c r="L90" i="12"/>
  <c r="E114" i="40" s="1"/>
  <c r="K90" i="12"/>
  <c r="J90" i="12"/>
  <c r="M90" i="12" s="1"/>
  <c r="F114" i="40" s="1"/>
  <c r="I90" i="12"/>
  <c r="N89" i="12"/>
  <c r="J113" i="40" s="1"/>
  <c r="L89" i="12"/>
  <c r="E113" i="40" s="1"/>
  <c r="K89" i="12"/>
  <c r="J89" i="12"/>
  <c r="M89" i="12" s="1"/>
  <c r="F113" i="40" s="1"/>
  <c r="I89" i="12"/>
  <c r="N88" i="12"/>
  <c r="J112" i="40" s="1"/>
  <c r="L88" i="12"/>
  <c r="E112" i="40" s="1"/>
  <c r="K88" i="12"/>
  <c r="J88" i="12"/>
  <c r="M88" i="12" s="1"/>
  <c r="F112" i="40" s="1"/>
  <c r="I88" i="12"/>
  <c r="N87" i="12"/>
  <c r="J111" i="40" s="1"/>
  <c r="L87" i="12"/>
  <c r="E111" i="40" s="1"/>
  <c r="K87" i="12"/>
  <c r="J87" i="12"/>
  <c r="M87" i="12" s="1"/>
  <c r="F111" i="40" s="1"/>
  <c r="I87" i="12"/>
  <c r="N86" i="12"/>
  <c r="J110" i="40" s="1"/>
  <c r="L86" i="12"/>
  <c r="E110" i="40" s="1"/>
  <c r="K86" i="12"/>
  <c r="J86" i="12"/>
  <c r="M86" i="12" s="1"/>
  <c r="F110" i="40" s="1"/>
  <c r="I86" i="12"/>
  <c r="N85" i="12"/>
  <c r="J109" i="40" s="1"/>
  <c r="L85" i="12"/>
  <c r="E109" i="40" s="1"/>
  <c r="K85" i="12"/>
  <c r="J85" i="12"/>
  <c r="M85" i="12" s="1"/>
  <c r="F109" i="40" s="1"/>
  <c r="I85" i="12"/>
  <c r="N84" i="12"/>
  <c r="J108" i="40" s="1"/>
  <c r="L84" i="12"/>
  <c r="E108" i="40" s="1"/>
  <c r="K84" i="12"/>
  <c r="J84" i="12"/>
  <c r="M84" i="12" s="1"/>
  <c r="F108" i="40" s="1"/>
  <c r="I84" i="12"/>
  <c r="N83" i="12"/>
  <c r="J107" i="40" s="1"/>
  <c r="L83" i="12"/>
  <c r="E107" i="40" s="1"/>
  <c r="K83" i="12"/>
  <c r="J83" i="12"/>
  <c r="M83" i="12" s="1"/>
  <c r="F107" i="40" s="1"/>
  <c r="I83" i="12"/>
  <c r="N82" i="12"/>
  <c r="J106" i="40" s="1"/>
  <c r="L82" i="12"/>
  <c r="E106" i="40" s="1"/>
  <c r="K82" i="12"/>
  <c r="J82" i="12"/>
  <c r="M82" i="12" s="1"/>
  <c r="F106" i="40" s="1"/>
  <c r="I82" i="12"/>
  <c r="N81" i="12"/>
  <c r="J105" i="40" s="1"/>
  <c r="L81" i="12"/>
  <c r="E105" i="40" s="1"/>
  <c r="K81" i="12"/>
  <c r="J81" i="12"/>
  <c r="M81" i="12" s="1"/>
  <c r="F105" i="40" s="1"/>
  <c r="I81" i="12"/>
  <c r="N80" i="12"/>
  <c r="J104" i="40" s="1"/>
  <c r="L80" i="12"/>
  <c r="E104" i="40" s="1"/>
  <c r="K80" i="12"/>
  <c r="J80" i="12"/>
  <c r="M80" i="12" s="1"/>
  <c r="F104" i="40" s="1"/>
  <c r="I80" i="12"/>
  <c r="N79" i="12"/>
  <c r="J103" i="40" s="1"/>
  <c r="L79" i="12"/>
  <c r="E103" i="40" s="1"/>
  <c r="K79" i="12"/>
  <c r="J79" i="12"/>
  <c r="M79" i="12" s="1"/>
  <c r="F103" i="40" s="1"/>
  <c r="I79" i="12"/>
  <c r="N78" i="12"/>
  <c r="J100" i="40" s="1"/>
  <c r="L78" i="12"/>
  <c r="E100" i="40" s="1"/>
  <c r="E101" i="40" s="1"/>
  <c r="K78" i="12"/>
  <c r="J78" i="12"/>
  <c r="M78" i="12" s="1"/>
  <c r="F100" i="40" s="1"/>
  <c r="I78" i="12"/>
  <c r="N77" i="12"/>
  <c r="J99" i="40" s="1"/>
  <c r="L77" i="12"/>
  <c r="E99" i="40" s="1"/>
  <c r="K77" i="12"/>
  <c r="J77" i="12"/>
  <c r="M77" i="12" s="1"/>
  <c r="F99" i="40" s="1"/>
  <c r="I77" i="12"/>
  <c r="N76" i="12"/>
  <c r="J98" i="40" s="1"/>
  <c r="L76" i="12"/>
  <c r="E98" i="40" s="1"/>
  <c r="K76" i="12"/>
  <c r="J76" i="12"/>
  <c r="M76" i="12" s="1"/>
  <c r="F98" i="40" s="1"/>
  <c r="I76" i="12"/>
  <c r="N75" i="12"/>
  <c r="J97" i="40" s="1"/>
  <c r="L75" i="12"/>
  <c r="E97" i="40" s="1"/>
  <c r="K75" i="12"/>
  <c r="J75" i="12"/>
  <c r="M75" i="12" s="1"/>
  <c r="F97" i="40" s="1"/>
  <c r="I75" i="12"/>
  <c r="N74" i="12"/>
  <c r="J96" i="40" s="1"/>
  <c r="L74" i="12"/>
  <c r="E96" i="40" s="1"/>
  <c r="K74" i="12"/>
  <c r="J74" i="12"/>
  <c r="M74" i="12" s="1"/>
  <c r="F96" i="40" s="1"/>
  <c r="I74" i="12"/>
  <c r="N73" i="12"/>
  <c r="J95" i="40" s="1"/>
  <c r="L73" i="12"/>
  <c r="E95" i="40" s="1"/>
  <c r="K73" i="12"/>
  <c r="J73" i="12"/>
  <c r="M73" i="12" s="1"/>
  <c r="F95" i="40" s="1"/>
  <c r="I73" i="12"/>
  <c r="N72" i="12"/>
  <c r="J94" i="40" s="1"/>
  <c r="L72" i="12"/>
  <c r="E94" i="40" s="1"/>
  <c r="K72" i="12"/>
  <c r="J72" i="12"/>
  <c r="M72" i="12" s="1"/>
  <c r="F94" i="40" s="1"/>
  <c r="I72" i="12"/>
  <c r="N71" i="12"/>
  <c r="J93" i="40" s="1"/>
  <c r="L71" i="12"/>
  <c r="E93" i="40" s="1"/>
  <c r="K71" i="12"/>
  <c r="J71" i="12"/>
  <c r="M71" i="12" s="1"/>
  <c r="F93" i="40" s="1"/>
  <c r="I71" i="12"/>
  <c r="N70" i="12"/>
  <c r="J92" i="40" s="1"/>
  <c r="L70" i="12"/>
  <c r="E92" i="40" s="1"/>
  <c r="K70" i="12"/>
  <c r="J70" i="12"/>
  <c r="M70" i="12" s="1"/>
  <c r="F92" i="40" s="1"/>
  <c r="I70" i="12"/>
  <c r="N69" i="12"/>
  <c r="J91" i="40" s="1"/>
  <c r="L69" i="12"/>
  <c r="E91" i="40" s="1"/>
  <c r="K69" i="12"/>
  <c r="J69" i="12"/>
  <c r="M69" i="12" s="1"/>
  <c r="F91" i="40" s="1"/>
  <c r="I69" i="12"/>
  <c r="N68" i="12"/>
  <c r="J90" i="40" s="1"/>
  <c r="L68" i="12"/>
  <c r="E90" i="40" s="1"/>
  <c r="K68" i="12"/>
  <c r="J68" i="12"/>
  <c r="M68" i="12" s="1"/>
  <c r="F90" i="40" s="1"/>
  <c r="I68" i="12"/>
  <c r="N67" i="12"/>
  <c r="J89" i="40" s="1"/>
  <c r="L67" i="12"/>
  <c r="E89" i="40" s="1"/>
  <c r="K67" i="12"/>
  <c r="J67" i="12"/>
  <c r="M67" i="12" s="1"/>
  <c r="F89" i="40" s="1"/>
  <c r="I67" i="12"/>
  <c r="N66" i="12"/>
  <c r="J88" i="40" s="1"/>
  <c r="L66" i="12"/>
  <c r="E88" i="40" s="1"/>
  <c r="K66" i="12"/>
  <c r="J66" i="12"/>
  <c r="M66" i="12" s="1"/>
  <c r="F88" i="40" s="1"/>
  <c r="I66" i="12"/>
  <c r="N65" i="12"/>
  <c r="J87" i="40" s="1"/>
  <c r="L65" i="12"/>
  <c r="E87" i="40" s="1"/>
  <c r="K65" i="12"/>
  <c r="J65" i="12"/>
  <c r="M65" i="12" s="1"/>
  <c r="F87" i="40" s="1"/>
  <c r="I65" i="12"/>
  <c r="N64" i="12"/>
  <c r="J86" i="40" s="1"/>
  <c r="L64" i="12"/>
  <c r="E86" i="40" s="1"/>
  <c r="K64" i="12"/>
  <c r="J64" i="12"/>
  <c r="M64" i="12" s="1"/>
  <c r="F86" i="40" s="1"/>
  <c r="I64" i="12"/>
  <c r="N63" i="12"/>
  <c r="J85" i="40" s="1"/>
  <c r="L63" i="12"/>
  <c r="E85" i="40" s="1"/>
  <c r="K63" i="12"/>
  <c r="J63" i="12"/>
  <c r="M63" i="12" s="1"/>
  <c r="F85" i="40" s="1"/>
  <c r="I63" i="12"/>
  <c r="N62" i="12"/>
  <c r="J84" i="40" s="1"/>
  <c r="L62" i="12"/>
  <c r="E84" i="40" s="1"/>
  <c r="K62" i="12"/>
  <c r="J62" i="12"/>
  <c r="M62" i="12" s="1"/>
  <c r="F84" i="40" s="1"/>
  <c r="I62" i="12"/>
  <c r="N61" i="12"/>
  <c r="J83" i="40" s="1"/>
  <c r="L61" i="12"/>
  <c r="E83" i="40" s="1"/>
  <c r="K61" i="12"/>
  <c r="J61" i="12"/>
  <c r="M61" i="12" s="1"/>
  <c r="F83" i="40" s="1"/>
  <c r="I61" i="12"/>
  <c r="N60" i="12"/>
  <c r="J82" i="40" s="1"/>
  <c r="L60" i="12"/>
  <c r="E82" i="40" s="1"/>
  <c r="K60" i="12"/>
  <c r="J60" i="12"/>
  <c r="M60" i="12" s="1"/>
  <c r="F82" i="40" s="1"/>
  <c r="I60" i="12"/>
  <c r="N59" i="12"/>
  <c r="J81" i="40" s="1"/>
  <c r="L59" i="12"/>
  <c r="E81" i="40" s="1"/>
  <c r="K59" i="12"/>
  <c r="J59" i="12"/>
  <c r="M59" i="12" s="1"/>
  <c r="F81" i="40" s="1"/>
  <c r="I59" i="12"/>
  <c r="N58" i="12"/>
  <c r="J80" i="40" s="1"/>
  <c r="L58" i="12"/>
  <c r="E80" i="40" s="1"/>
  <c r="K58" i="12"/>
  <c r="J58" i="12"/>
  <c r="M58" i="12" s="1"/>
  <c r="F80" i="40" s="1"/>
  <c r="I58" i="12"/>
  <c r="N57" i="12"/>
  <c r="J79" i="40" s="1"/>
  <c r="L57" i="12"/>
  <c r="E79" i="40" s="1"/>
  <c r="K57" i="12"/>
  <c r="J57" i="12"/>
  <c r="M57" i="12" s="1"/>
  <c r="F79" i="40" s="1"/>
  <c r="I57" i="12"/>
  <c r="N56" i="12"/>
  <c r="J78" i="40" s="1"/>
  <c r="L56" i="12"/>
  <c r="E78" i="40" s="1"/>
  <c r="K56" i="12"/>
  <c r="J56" i="12"/>
  <c r="M56" i="12" s="1"/>
  <c r="F78" i="40" s="1"/>
  <c r="I56" i="12"/>
  <c r="N55" i="12"/>
  <c r="J77" i="40" s="1"/>
  <c r="L55" i="12"/>
  <c r="E77" i="40" s="1"/>
  <c r="K55" i="12"/>
  <c r="J55" i="12"/>
  <c r="M55" i="12" s="1"/>
  <c r="F77" i="40" s="1"/>
  <c r="I55" i="12"/>
  <c r="N54" i="12"/>
  <c r="J76" i="40" s="1"/>
  <c r="L54" i="12"/>
  <c r="E76" i="40" s="1"/>
  <c r="K54" i="12"/>
  <c r="J54" i="12"/>
  <c r="M54" i="12" s="1"/>
  <c r="F76" i="40" s="1"/>
  <c r="I54" i="12"/>
  <c r="N53" i="12"/>
  <c r="J75" i="40" s="1"/>
  <c r="L53" i="12"/>
  <c r="E75" i="40" s="1"/>
  <c r="K53" i="12"/>
  <c r="J53" i="12"/>
  <c r="M53" i="12" s="1"/>
  <c r="F75" i="40" s="1"/>
  <c r="I53" i="12"/>
  <c r="N52" i="12"/>
  <c r="J74" i="40" s="1"/>
  <c r="L52" i="12"/>
  <c r="E74" i="40" s="1"/>
  <c r="K52" i="12"/>
  <c r="J52" i="12"/>
  <c r="M52" i="12" s="1"/>
  <c r="F74" i="40" s="1"/>
  <c r="I52" i="12"/>
  <c r="N51" i="12"/>
  <c r="J73" i="40" s="1"/>
  <c r="L51" i="12"/>
  <c r="E73" i="40" s="1"/>
  <c r="K51" i="12"/>
  <c r="J51" i="12"/>
  <c r="M51" i="12" s="1"/>
  <c r="F73" i="40" s="1"/>
  <c r="I51" i="12"/>
  <c r="N50" i="12"/>
  <c r="J69" i="40" s="1"/>
  <c r="L50" i="12"/>
  <c r="E69" i="40" s="1"/>
  <c r="K50" i="12"/>
  <c r="J50" i="12"/>
  <c r="M50" i="12" s="1"/>
  <c r="F69" i="40" s="1"/>
  <c r="I50" i="12"/>
  <c r="N49" i="12"/>
  <c r="J68" i="40" s="1"/>
  <c r="L68" i="40" s="1"/>
  <c r="L49" i="12"/>
  <c r="E68" i="40" s="1"/>
  <c r="K68" i="40" s="1"/>
  <c r="K49" i="12"/>
  <c r="J49" i="12"/>
  <c r="M49" i="12" s="1"/>
  <c r="F68" i="40" s="1"/>
  <c r="I49" i="12"/>
  <c r="N48" i="12"/>
  <c r="J67" i="40" s="1"/>
  <c r="L48" i="12"/>
  <c r="E67" i="40" s="1"/>
  <c r="K67" i="40" s="1"/>
  <c r="K48" i="12"/>
  <c r="J48" i="12"/>
  <c r="M48" i="12" s="1"/>
  <c r="F67" i="40" s="1"/>
  <c r="I48" i="12"/>
  <c r="N47" i="12"/>
  <c r="J66" i="40" s="1"/>
  <c r="L66" i="40" s="1"/>
  <c r="L47" i="12"/>
  <c r="E66" i="40" s="1"/>
  <c r="K66" i="40" s="1"/>
  <c r="K47" i="12"/>
  <c r="J47" i="12"/>
  <c r="M47" i="12" s="1"/>
  <c r="F66" i="40" s="1"/>
  <c r="I47" i="12"/>
  <c r="N46" i="12"/>
  <c r="J65" i="40" s="1"/>
  <c r="L46" i="12"/>
  <c r="E65" i="40" s="1"/>
  <c r="K65" i="40" s="1"/>
  <c r="K46" i="12"/>
  <c r="J46" i="12"/>
  <c r="M46" i="12" s="1"/>
  <c r="F65" i="40" s="1"/>
  <c r="I46" i="12"/>
  <c r="N45" i="12"/>
  <c r="J64" i="40" s="1"/>
  <c r="L45" i="12"/>
  <c r="E64" i="40" s="1"/>
  <c r="K64" i="40" s="1"/>
  <c r="K45" i="12"/>
  <c r="J45" i="12"/>
  <c r="M45" i="12" s="1"/>
  <c r="F64" i="40" s="1"/>
  <c r="I45" i="12"/>
  <c r="N44" i="12"/>
  <c r="J63" i="40" s="1"/>
  <c r="L44" i="12"/>
  <c r="E63" i="40" s="1"/>
  <c r="K63" i="40" s="1"/>
  <c r="K44" i="12"/>
  <c r="J44" i="12"/>
  <c r="M44" i="12" s="1"/>
  <c r="F63" i="40" s="1"/>
  <c r="I44" i="12"/>
  <c r="N43" i="12"/>
  <c r="J62" i="40" s="1"/>
  <c r="L43" i="12"/>
  <c r="E62" i="40" s="1"/>
  <c r="K62" i="40" s="1"/>
  <c r="K43" i="12"/>
  <c r="J43" i="12"/>
  <c r="M43" i="12" s="1"/>
  <c r="F62" i="40" s="1"/>
  <c r="I43" i="12"/>
  <c r="N42" i="12"/>
  <c r="J61" i="40" s="1"/>
  <c r="L42" i="12"/>
  <c r="E61" i="40" s="1"/>
  <c r="K61" i="40" s="1"/>
  <c r="K42" i="12"/>
  <c r="J42" i="12"/>
  <c r="M42" i="12" s="1"/>
  <c r="F61" i="40" s="1"/>
  <c r="I42" i="12"/>
  <c r="N41" i="12"/>
  <c r="J60" i="40" s="1"/>
  <c r="L41" i="12"/>
  <c r="E60" i="40" s="1"/>
  <c r="K60" i="40" s="1"/>
  <c r="K41" i="12"/>
  <c r="J41" i="12"/>
  <c r="M41" i="12" s="1"/>
  <c r="F60" i="40" s="1"/>
  <c r="I41" i="12"/>
  <c r="N40" i="12"/>
  <c r="J59" i="40" s="1"/>
  <c r="L40" i="12"/>
  <c r="E59" i="40" s="1"/>
  <c r="K59" i="40" s="1"/>
  <c r="K40" i="12"/>
  <c r="J40" i="12"/>
  <c r="M40" i="12" s="1"/>
  <c r="F59" i="40" s="1"/>
  <c r="I40" i="12"/>
  <c r="N39" i="12"/>
  <c r="J58" i="40" s="1"/>
  <c r="L39" i="12"/>
  <c r="E58" i="40" s="1"/>
  <c r="K58" i="40" s="1"/>
  <c r="K39" i="12"/>
  <c r="J39" i="12"/>
  <c r="M39" i="12" s="1"/>
  <c r="F58" i="40" s="1"/>
  <c r="I39" i="12"/>
  <c r="N38" i="12"/>
  <c r="J57" i="40" s="1"/>
  <c r="L38" i="12"/>
  <c r="E57" i="40" s="1"/>
  <c r="K57" i="40" s="1"/>
  <c r="K38" i="12"/>
  <c r="J38" i="12"/>
  <c r="M38" i="12" s="1"/>
  <c r="F57" i="40" s="1"/>
  <c r="I38" i="12"/>
  <c r="N37" i="12"/>
  <c r="J56" i="40" s="1"/>
  <c r="L37" i="12"/>
  <c r="E56" i="40" s="1"/>
  <c r="K56" i="40" s="1"/>
  <c r="K37" i="12"/>
  <c r="J37" i="12"/>
  <c r="M37" i="12" s="1"/>
  <c r="F56" i="40" s="1"/>
  <c r="I37" i="12"/>
  <c r="N36" i="12"/>
  <c r="J55" i="40" s="1"/>
  <c r="L36" i="12"/>
  <c r="E55" i="40" s="1"/>
  <c r="K55" i="40" s="1"/>
  <c r="K36" i="12"/>
  <c r="J36" i="12"/>
  <c r="M36" i="12" s="1"/>
  <c r="F55" i="40" s="1"/>
  <c r="I36" i="12"/>
  <c r="N35" i="12"/>
  <c r="J54" i="40" s="1"/>
  <c r="L35" i="12"/>
  <c r="E54" i="40" s="1"/>
  <c r="K54" i="40" s="1"/>
  <c r="K35" i="12"/>
  <c r="J35" i="12"/>
  <c r="M35" i="12" s="1"/>
  <c r="F54" i="40" s="1"/>
  <c r="I35" i="12"/>
  <c r="N34" i="12"/>
  <c r="J53" i="40" s="1"/>
  <c r="L34" i="12"/>
  <c r="E53" i="40" s="1"/>
  <c r="K53" i="40" s="1"/>
  <c r="K34" i="12"/>
  <c r="J34" i="12"/>
  <c r="M34" i="12" s="1"/>
  <c r="F53" i="40" s="1"/>
  <c r="I34" i="12"/>
  <c r="N33" i="12"/>
  <c r="J52" i="40" s="1"/>
  <c r="L33" i="12"/>
  <c r="E52" i="40" s="1"/>
  <c r="K52" i="40" s="1"/>
  <c r="K33" i="12"/>
  <c r="J33" i="12"/>
  <c r="M33" i="12" s="1"/>
  <c r="F52" i="40" s="1"/>
  <c r="I33" i="12"/>
  <c r="N32" i="12"/>
  <c r="J51" i="40" s="1"/>
  <c r="L32" i="12"/>
  <c r="E51" i="40" s="1"/>
  <c r="K51" i="40" s="1"/>
  <c r="K32" i="12"/>
  <c r="J32" i="12"/>
  <c r="M32" i="12" s="1"/>
  <c r="F51" i="40" s="1"/>
  <c r="I32" i="12"/>
  <c r="N31" i="12"/>
  <c r="J50" i="40" s="1"/>
  <c r="L31" i="12"/>
  <c r="E50" i="40" s="1"/>
  <c r="K50" i="40" s="1"/>
  <c r="K31" i="12"/>
  <c r="J31" i="12"/>
  <c r="M31" i="12" s="1"/>
  <c r="F50" i="40" s="1"/>
  <c r="I31" i="12"/>
  <c r="N30" i="12"/>
  <c r="J49" i="40" s="1"/>
  <c r="L30" i="12"/>
  <c r="E49" i="40" s="1"/>
  <c r="K49" i="40" s="1"/>
  <c r="K30" i="12"/>
  <c r="J30" i="12"/>
  <c r="M30" i="12" s="1"/>
  <c r="F49" i="40" s="1"/>
  <c r="I30" i="12"/>
  <c r="N29" i="12"/>
  <c r="J48" i="40" s="1"/>
  <c r="L29" i="12"/>
  <c r="E48" i="40" s="1"/>
  <c r="K48" i="40" s="1"/>
  <c r="K29" i="12"/>
  <c r="J29" i="12"/>
  <c r="M29" i="12" s="1"/>
  <c r="F48" i="40" s="1"/>
  <c r="I29" i="12"/>
  <c r="N28" i="12"/>
  <c r="J47" i="40" s="1"/>
  <c r="L28" i="12"/>
  <c r="E47" i="40" s="1"/>
  <c r="K47" i="40" s="1"/>
  <c r="K28" i="12"/>
  <c r="J28" i="12"/>
  <c r="M28" i="12" s="1"/>
  <c r="F47" i="40" s="1"/>
  <c r="I28" i="12"/>
  <c r="N27" i="12"/>
  <c r="J46" i="40" s="1"/>
  <c r="L27" i="12"/>
  <c r="E46" i="40" s="1"/>
  <c r="K46" i="40" s="1"/>
  <c r="K27" i="12"/>
  <c r="J27" i="12"/>
  <c r="M27" i="12" s="1"/>
  <c r="F46" i="40" s="1"/>
  <c r="I27" i="12"/>
  <c r="N26" i="12"/>
  <c r="J45" i="40" s="1"/>
  <c r="L26" i="12"/>
  <c r="E45" i="40" s="1"/>
  <c r="K45" i="40" s="1"/>
  <c r="K26" i="12"/>
  <c r="J26" i="12"/>
  <c r="M26" i="12" s="1"/>
  <c r="F45" i="40" s="1"/>
  <c r="I26" i="12"/>
  <c r="N25" i="12"/>
  <c r="J44" i="40" s="1"/>
  <c r="L25" i="12"/>
  <c r="E44" i="40" s="1"/>
  <c r="K44" i="40" s="1"/>
  <c r="K25" i="12"/>
  <c r="J25" i="12"/>
  <c r="M25" i="12" s="1"/>
  <c r="F44" i="40" s="1"/>
  <c r="I25" i="12"/>
  <c r="N24" i="12"/>
  <c r="J43" i="40" s="1"/>
  <c r="L24" i="12"/>
  <c r="E43" i="40" s="1"/>
  <c r="K43" i="40" s="1"/>
  <c r="K24" i="12"/>
  <c r="J24" i="12"/>
  <c r="M24" i="12" s="1"/>
  <c r="F43" i="40" s="1"/>
  <c r="I24" i="12"/>
  <c r="N23" i="12"/>
  <c r="J42" i="40" s="1"/>
  <c r="L23" i="12"/>
  <c r="E42" i="40" s="1"/>
  <c r="K42" i="40" s="1"/>
  <c r="K23" i="12"/>
  <c r="J23" i="12"/>
  <c r="M23" i="12" s="1"/>
  <c r="F42" i="40" s="1"/>
  <c r="I23" i="12"/>
  <c r="N22" i="12"/>
  <c r="J41" i="40" s="1"/>
  <c r="L22" i="12"/>
  <c r="E41" i="40" s="1"/>
  <c r="K41" i="40" s="1"/>
  <c r="K22" i="12"/>
  <c r="J22" i="12"/>
  <c r="M22" i="12" s="1"/>
  <c r="F41" i="40" s="1"/>
  <c r="I22" i="12"/>
  <c r="N21" i="12"/>
  <c r="J33" i="40" s="1"/>
  <c r="L21" i="12"/>
  <c r="E33" i="40" s="1"/>
  <c r="K21" i="12"/>
  <c r="J21" i="12"/>
  <c r="M21" i="12" s="1"/>
  <c r="F33" i="40" s="1"/>
  <c r="I21" i="12"/>
  <c r="N20" i="12"/>
  <c r="J32" i="40" s="1"/>
  <c r="L20" i="12"/>
  <c r="E32" i="40" s="1"/>
  <c r="K32" i="40" s="1"/>
  <c r="K20" i="12"/>
  <c r="J20" i="12"/>
  <c r="M20" i="12" s="1"/>
  <c r="F32" i="40" s="1"/>
  <c r="I20" i="12"/>
  <c r="N19" i="12"/>
  <c r="J31" i="40" s="1"/>
  <c r="L19" i="12"/>
  <c r="E31" i="40" s="1"/>
  <c r="K19" i="12"/>
  <c r="J19" i="12"/>
  <c r="M19" i="12" s="1"/>
  <c r="F31" i="40" s="1"/>
  <c r="I19" i="12"/>
  <c r="N18" i="12"/>
  <c r="J30" i="40" s="1"/>
  <c r="L18" i="12"/>
  <c r="E30" i="40" s="1"/>
  <c r="K18" i="12"/>
  <c r="J18" i="12"/>
  <c r="M18" i="12" s="1"/>
  <c r="F30" i="40" s="1"/>
  <c r="I18" i="12"/>
  <c r="AA16" i="12"/>
  <c r="N16" i="12" s="1"/>
  <c r="I21" i="32" s="1"/>
  <c r="AA15" i="12"/>
  <c r="U15" i="12"/>
  <c r="N15" i="12"/>
  <c r="I19" i="32" s="1"/>
  <c r="M15" i="12"/>
  <c r="E19" i="32" s="1"/>
  <c r="U14" i="12"/>
  <c r="N14" i="12"/>
  <c r="I18" i="32" s="1"/>
  <c r="M14" i="12"/>
  <c r="E18" i="32" s="1"/>
  <c r="AA13" i="12"/>
  <c r="N13" i="12"/>
  <c r="I17" i="32" s="1"/>
  <c r="M13" i="12"/>
  <c r="E17" i="32" s="1"/>
  <c r="AA12" i="12"/>
  <c r="N12" i="12" s="1"/>
  <c r="I16" i="32" s="1"/>
  <c r="M12" i="12"/>
  <c r="E16" i="32" s="1"/>
  <c r="AA11" i="12"/>
  <c r="N11" i="12"/>
  <c r="I15" i="32" s="1"/>
  <c r="M11" i="12"/>
  <c r="E15" i="32" s="1"/>
  <c r="N3" i="12"/>
  <c r="D53" i="7" s="1"/>
  <c r="C34" i="11"/>
  <c r="E30" i="11"/>
  <c r="C30" i="11" s="1"/>
  <c r="D14" i="28" s="1"/>
  <c r="E29" i="11"/>
  <c r="C29" i="11" s="1"/>
  <c r="D5" i="29" s="1"/>
  <c r="C8" i="11"/>
  <c r="D3" i="44" s="1"/>
  <c r="C7" i="11"/>
  <c r="E5" i="41" s="1"/>
  <c r="E6" i="11"/>
  <c r="C6" i="11" s="1"/>
  <c r="E21" i="40" s="1"/>
  <c r="E5" i="11"/>
  <c r="C5" i="11" s="1"/>
  <c r="D5" i="15" s="1"/>
  <c r="E4" i="11"/>
  <c r="C4" i="11" s="1"/>
  <c r="D4" i="7" s="1"/>
  <c r="E3" i="11"/>
  <c r="C3" i="11" s="1"/>
  <c r="D5" i="32" s="1"/>
  <c r="C2" i="11"/>
  <c r="G15" i="10"/>
  <c r="E5" i="10"/>
  <c r="E11" i="9"/>
  <c r="D7" i="9"/>
  <c r="F13" i="8"/>
  <c r="E13" i="8"/>
  <c r="F8" i="8"/>
  <c r="E8" i="8"/>
  <c r="D5" i="8"/>
  <c r="D4" i="8"/>
  <c r="D52" i="7"/>
  <c r="G50" i="7"/>
  <c r="E45" i="7"/>
  <c r="G44" i="7"/>
  <c r="E43" i="7"/>
  <c r="G42" i="7"/>
  <c r="E42" i="7"/>
  <c r="G38" i="7"/>
  <c r="E38" i="7"/>
  <c r="E37" i="7"/>
  <c r="E36" i="7"/>
  <c r="G35" i="7"/>
  <c r="E35" i="7"/>
  <c r="G34" i="7"/>
  <c r="E34" i="7"/>
  <c r="G33" i="7"/>
  <c r="E33" i="7"/>
  <c r="E32" i="7"/>
  <c r="D32" i="7"/>
  <c r="D36" i="7" s="1"/>
  <c r="D37" i="7" s="1"/>
  <c r="D38" i="7" s="1"/>
  <c r="A32" i="7"/>
  <c r="G28" i="7"/>
  <c r="G27" i="7"/>
  <c r="G26" i="7"/>
  <c r="E18" i="7"/>
  <c r="G17" i="7"/>
  <c r="E17" i="7"/>
  <c r="G16" i="7"/>
  <c r="E16" i="7"/>
  <c r="F15" i="7"/>
  <c r="F14" i="7"/>
  <c r="G13" i="7"/>
  <c r="E13" i="7"/>
  <c r="E12" i="7"/>
  <c r="F11" i="7"/>
  <c r="D5" i="7"/>
  <c r="D5" i="6"/>
  <c r="AQ116" i="5"/>
  <c r="AP116" i="5"/>
  <c r="S48" i="54" s="1"/>
  <c r="K52" i="54" s="1"/>
  <c r="S52" i="54" s="1"/>
  <c r="AO116" i="5"/>
  <c r="S47" i="54" s="1"/>
  <c r="AN116" i="5"/>
  <c r="S46" i="54" s="1"/>
  <c r="AM116" i="5"/>
  <c r="AL116" i="5"/>
  <c r="AD48" i="54" s="1"/>
  <c r="AK116" i="5"/>
  <c r="AD47" i="54" s="1"/>
  <c r="AJ116" i="5"/>
  <c r="AD46" i="54" s="1"/>
  <c r="AI116" i="5"/>
  <c r="AH116" i="5"/>
  <c r="AQ111" i="5"/>
  <c r="AP111" i="5"/>
  <c r="S43" i="53" s="1"/>
  <c r="I44" i="53" s="1"/>
  <c r="AO111" i="5"/>
  <c r="S42" i="53" s="1"/>
  <c r="AN111" i="5"/>
  <c r="S41" i="53" s="1"/>
  <c r="AM111" i="5"/>
  <c r="AL111" i="5"/>
  <c r="AC43" i="53" s="1"/>
  <c r="AK111" i="5"/>
  <c r="AC42" i="53" s="1"/>
  <c r="AJ111" i="5"/>
  <c r="AC41" i="53" s="1"/>
  <c r="AI111" i="5"/>
  <c r="AH111" i="5"/>
  <c r="AQ106" i="5"/>
  <c r="AP106" i="5"/>
  <c r="S43" i="52" s="1"/>
  <c r="I44" i="52" s="1"/>
  <c r="AO106" i="5"/>
  <c r="S42" i="52" s="1"/>
  <c r="AN106" i="5"/>
  <c r="S41" i="52" s="1"/>
  <c r="AM106" i="5"/>
  <c r="AL106" i="5"/>
  <c r="AC43" i="52" s="1"/>
  <c r="AK106" i="5"/>
  <c r="AC42" i="52" s="1"/>
  <c r="AJ106" i="5"/>
  <c r="AC41" i="52" s="1"/>
  <c r="AI106" i="5"/>
  <c r="AH106" i="5"/>
  <c r="AQ100" i="5"/>
  <c r="AP100" i="5"/>
  <c r="S48" i="51" s="1"/>
  <c r="K52" i="51" s="1"/>
  <c r="S52" i="51" s="1"/>
  <c r="AO100" i="5"/>
  <c r="S47" i="51" s="1"/>
  <c r="AN100" i="5"/>
  <c r="S46" i="51" s="1"/>
  <c r="AM100" i="5"/>
  <c r="AL100" i="5"/>
  <c r="AD48" i="51" s="1"/>
  <c r="AK100" i="5"/>
  <c r="AD47" i="51" s="1"/>
  <c r="AJ100" i="5"/>
  <c r="AD46" i="51" s="1"/>
  <c r="AI100" i="5"/>
  <c r="AH100" i="5"/>
  <c r="AQ95" i="5"/>
  <c r="AP95" i="5"/>
  <c r="AO95" i="5"/>
  <c r="AN95" i="5"/>
  <c r="AM95" i="5"/>
  <c r="AL95" i="5"/>
  <c r="AK95" i="5"/>
  <c r="AJ95" i="5"/>
  <c r="AI95" i="5"/>
  <c r="AH95" i="5"/>
  <c r="AQ90" i="5"/>
  <c r="AP90" i="5"/>
  <c r="AO90" i="5"/>
  <c r="AN90" i="5"/>
  <c r="AM90" i="5"/>
  <c r="AL90" i="5"/>
  <c r="AK90" i="5"/>
  <c r="AJ90" i="5"/>
  <c r="AI90" i="5"/>
  <c r="AH90" i="5"/>
  <c r="AQ84" i="5"/>
  <c r="AP84" i="5"/>
  <c r="S48" i="39" s="1"/>
  <c r="K52" i="39" s="1"/>
  <c r="S52" i="39" s="1"/>
  <c r="AO84" i="5"/>
  <c r="S47" i="39" s="1"/>
  <c r="AN84" i="5"/>
  <c r="S46" i="39" s="1"/>
  <c r="AM84" i="5"/>
  <c r="AL84" i="5"/>
  <c r="AD48" i="39" s="1"/>
  <c r="AK84" i="5"/>
  <c r="AD47" i="39" s="1"/>
  <c r="AJ84" i="5"/>
  <c r="AD46" i="39" s="1"/>
  <c r="AI84" i="5"/>
  <c r="AH84" i="5"/>
  <c r="AQ79" i="5"/>
  <c r="AP79" i="5"/>
  <c r="S43" i="38" s="1"/>
  <c r="I44" i="38" s="1"/>
  <c r="AO79" i="5"/>
  <c r="S42" i="38" s="1"/>
  <c r="AN79" i="5"/>
  <c r="S41" i="38" s="1"/>
  <c r="AM79" i="5"/>
  <c r="AL79" i="5"/>
  <c r="AC43" i="38" s="1"/>
  <c r="AK79" i="5"/>
  <c r="AC42" i="38" s="1"/>
  <c r="AJ79" i="5"/>
  <c r="AC41" i="38" s="1"/>
  <c r="AI79" i="5"/>
  <c r="AH79" i="5"/>
  <c r="AQ74" i="5"/>
  <c r="AP74" i="5"/>
  <c r="S43" i="37" s="1"/>
  <c r="I44" i="37" s="1"/>
  <c r="AO74" i="5"/>
  <c r="S42" i="37" s="1"/>
  <c r="AN74" i="5"/>
  <c r="S41" i="37" s="1"/>
  <c r="AM74" i="5"/>
  <c r="AL74" i="5"/>
  <c r="AC43" i="37" s="1"/>
  <c r="AK74" i="5"/>
  <c r="AC42" i="37" s="1"/>
  <c r="AJ74" i="5"/>
  <c r="AC41" i="37" s="1"/>
  <c r="AI74" i="5"/>
  <c r="AH74" i="5"/>
  <c r="AQ69" i="5"/>
  <c r="AP69" i="5"/>
  <c r="S43" i="36" s="1"/>
  <c r="I44" i="36" s="1"/>
  <c r="AO69" i="5"/>
  <c r="S42" i="36" s="1"/>
  <c r="AN69" i="5"/>
  <c r="S41" i="36" s="1"/>
  <c r="AM69" i="5"/>
  <c r="AL69" i="5"/>
  <c r="AC43" i="36" s="1"/>
  <c r="AK69" i="5"/>
  <c r="AC42" i="36" s="1"/>
  <c r="AJ69" i="5"/>
  <c r="AC41" i="36" s="1"/>
  <c r="AI69" i="5"/>
  <c r="AH69" i="5"/>
  <c r="AQ64" i="5"/>
  <c r="AP64" i="5"/>
  <c r="S43" i="35" s="1"/>
  <c r="I44" i="35" s="1"/>
  <c r="AO64" i="5"/>
  <c r="S42" i="35" s="1"/>
  <c r="AN64" i="5"/>
  <c r="S41" i="35" s="1"/>
  <c r="AM64" i="5"/>
  <c r="AL64" i="5"/>
  <c r="AC43" i="35" s="1"/>
  <c r="AK64" i="5"/>
  <c r="AC42" i="35" s="1"/>
  <c r="AJ64" i="5"/>
  <c r="AC41" i="35" s="1"/>
  <c r="AI64" i="5"/>
  <c r="AH64" i="5"/>
  <c r="AQ48" i="5"/>
  <c r="S48" i="23" s="1"/>
  <c r="AP48" i="5"/>
  <c r="S47" i="23" s="1"/>
  <c r="AO48" i="5"/>
  <c r="S46" i="23" s="1"/>
  <c r="AN48" i="5"/>
  <c r="S45" i="23" s="1"/>
  <c r="AM48" i="5"/>
  <c r="AB48" i="23" s="1"/>
  <c r="AL48" i="5"/>
  <c r="AB47" i="23" s="1"/>
  <c r="AK48" i="5"/>
  <c r="AB46" i="23" s="1"/>
  <c r="AJ48" i="5"/>
  <c r="AB45" i="23" s="1"/>
  <c r="AI48" i="5"/>
  <c r="AH48" i="5"/>
  <c r="AQ43" i="5"/>
  <c r="S46" i="18" s="1"/>
  <c r="I47" i="18" s="1"/>
  <c r="AP43" i="5"/>
  <c r="S45" i="18" s="1"/>
  <c r="AO43" i="5"/>
  <c r="S44" i="18" s="1"/>
  <c r="AN43" i="5"/>
  <c r="S43" i="18" s="1"/>
  <c r="AM43" i="5"/>
  <c r="AD46" i="18" s="1"/>
  <c r="AL43" i="5"/>
  <c r="AD45" i="18" s="1"/>
  <c r="AK43" i="5"/>
  <c r="AD44" i="18" s="1"/>
  <c r="AJ43" i="5"/>
  <c r="AD43" i="18" s="1"/>
  <c r="AI43" i="5"/>
  <c r="AH43" i="5"/>
  <c r="AQ41" i="5"/>
  <c r="AP41" i="5"/>
  <c r="AO41" i="5"/>
  <c r="AN41" i="5"/>
  <c r="AM41" i="5"/>
  <c r="AL41" i="5"/>
  <c r="AK41" i="5"/>
  <c r="AJ41" i="5"/>
  <c r="AI41" i="5"/>
  <c r="AH41" i="5"/>
  <c r="AQ38" i="5"/>
  <c r="S46" i="21" s="1"/>
  <c r="AP38" i="5"/>
  <c r="S45" i="21" s="1"/>
  <c r="AO38" i="5"/>
  <c r="S44" i="21" s="1"/>
  <c r="AN38" i="5"/>
  <c r="S43" i="21" s="1"/>
  <c r="AM38" i="5"/>
  <c r="AD46" i="21" s="1"/>
  <c r="AL38" i="5"/>
  <c r="AD45" i="21" s="1"/>
  <c r="AK38" i="5"/>
  <c r="AD44" i="21" s="1"/>
  <c r="AJ38" i="5"/>
  <c r="AD43" i="21" s="1"/>
  <c r="AI38" i="5"/>
  <c r="AH38" i="5"/>
  <c r="AQ33" i="5"/>
  <c r="S46" i="20" s="1"/>
  <c r="AP33" i="5"/>
  <c r="S45" i="20" s="1"/>
  <c r="AO33" i="5"/>
  <c r="S44" i="20" s="1"/>
  <c r="AN33" i="5"/>
  <c r="S43" i="20" s="1"/>
  <c r="AM33" i="5"/>
  <c r="AD46" i="20" s="1"/>
  <c r="AL33" i="5"/>
  <c r="AD45" i="20" s="1"/>
  <c r="AK33" i="5"/>
  <c r="AD44" i="20" s="1"/>
  <c r="AJ33" i="5"/>
  <c r="AD43" i="20" s="1"/>
  <c r="AI33" i="5"/>
  <c r="AH33" i="5"/>
  <c r="AQ28" i="5"/>
  <c r="U52" i="22" s="1"/>
  <c r="I53" i="22" s="1"/>
  <c r="J54" i="22" s="1"/>
  <c r="AP28" i="5"/>
  <c r="U51" i="22" s="1"/>
  <c r="AO28" i="5"/>
  <c r="U50" i="22" s="1"/>
  <c r="AN28" i="5"/>
  <c r="U49" i="22" s="1"/>
  <c r="AM28" i="5"/>
  <c r="AG52" i="22" s="1"/>
  <c r="AL28" i="5"/>
  <c r="AG51" i="22" s="1"/>
  <c r="AK28" i="5"/>
  <c r="AG50" i="22" s="1"/>
  <c r="AJ28" i="5"/>
  <c r="AG49" i="22" s="1"/>
  <c r="AI28" i="5"/>
  <c r="AH28" i="5"/>
  <c r="AQ23" i="5"/>
  <c r="AP23" i="5"/>
  <c r="AO23" i="5"/>
  <c r="AN23" i="5"/>
  <c r="AM23" i="5"/>
  <c r="AL23" i="5"/>
  <c r="AK23" i="5"/>
  <c r="AJ23" i="5"/>
  <c r="AI23" i="5"/>
  <c r="AH23" i="5"/>
  <c r="AQ18" i="5"/>
  <c r="S46" i="17" s="1"/>
  <c r="I47" i="17" s="1"/>
  <c r="AP18" i="5"/>
  <c r="S45" i="17" s="1"/>
  <c r="AO18" i="5"/>
  <c r="S44" i="17" s="1"/>
  <c r="AN18" i="5"/>
  <c r="S43" i="17" s="1"/>
  <c r="AM18" i="5"/>
  <c r="AD46" i="17" s="1"/>
  <c r="AL18" i="5"/>
  <c r="AD45" i="17" s="1"/>
  <c r="AK18" i="5"/>
  <c r="AD44" i="17" s="1"/>
  <c r="AJ18" i="5"/>
  <c r="AD43" i="17" s="1"/>
  <c r="AI18" i="5"/>
  <c r="AH18" i="5"/>
  <c r="AQ15" i="5"/>
  <c r="AP15" i="5"/>
  <c r="AO15" i="5"/>
  <c r="AN15" i="5"/>
  <c r="AM15" i="5"/>
  <c r="AL15" i="5"/>
  <c r="AK15" i="5"/>
  <c r="AJ15" i="5"/>
  <c r="AI15" i="5"/>
  <c r="AH15" i="5"/>
  <c r="AQ13" i="5"/>
  <c r="S46" i="16" s="1"/>
  <c r="I47" i="16" s="1"/>
  <c r="AP13" i="5"/>
  <c r="S45" i="16" s="1"/>
  <c r="AO13" i="5"/>
  <c r="S44" i="16" s="1"/>
  <c r="AN13" i="5"/>
  <c r="S43" i="16" s="1"/>
  <c r="AM13" i="5"/>
  <c r="AD46" i="16" s="1"/>
  <c r="AL13" i="5"/>
  <c r="AD45" i="16" s="1"/>
  <c r="AK13" i="5"/>
  <c r="AD44" i="16" s="1"/>
  <c r="AJ13" i="5"/>
  <c r="AD43" i="16" s="1"/>
  <c r="AI13" i="5"/>
  <c r="AH13" i="5"/>
  <c r="D6" i="5"/>
  <c r="D5" i="5"/>
  <c r="R13" i="4"/>
  <c r="Q13" i="4"/>
  <c r="E13" i="4"/>
  <c r="P13" i="4" s="1"/>
  <c r="E7" i="4"/>
  <c r="D5" i="4"/>
  <c r="O13" i="3"/>
  <c r="M13" i="3" a="1"/>
  <c r="M13" i="3"/>
  <c r="E13" i="3"/>
  <c r="E12" i="3"/>
  <c r="G12" i="3" s="1"/>
  <c r="E4" i="3"/>
  <c r="F58" i="2"/>
  <c r="F57" i="2"/>
  <c r="E57" i="2"/>
  <c r="E47" i="2"/>
  <c r="E39" i="2"/>
  <c r="F23" i="2"/>
  <c r="E20" i="2"/>
  <c r="E19" i="2"/>
  <c r="F18" i="2"/>
  <c r="E5" i="2"/>
  <c r="D4" i="4" s="1"/>
  <c r="E3" i="2"/>
  <c r="E2" i="2"/>
  <c r="B5" i="1"/>
  <c r="P11" i="66"/>
  <c r="P2" i="66"/>
  <c r="M2" i="65"/>
  <c r="K2" i="64"/>
  <c r="AL7" i="53"/>
  <c r="AL46" i="52"/>
  <c r="AL7" i="50"/>
  <c r="AL46" i="49"/>
  <c r="M10" i="65"/>
  <c r="K9" i="64"/>
  <c r="AL46" i="53"/>
  <c r="AL7" i="52"/>
  <c r="AL46" i="50"/>
  <c r="AL7" i="49"/>
  <c r="AL46" i="38"/>
  <c r="AL7" i="37"/>
  <c r="AL46" i="36"/>
  <c r="AL7" i="38"/>
  <c r="AL46" i="37"/>
  <c r="AL7" i="36"/>
  <c r="AL46" i="35"/>
  <c r="Y23" i="27"/>
  <c r="L22" i="27"/>
  <c r="L20" i="27"/>
  <c r="AV51" i="23"/>
  <c r="AR56" i="22"/>
  <c r="AR55" i="22"/>
  <c r="AN49" i="21"/>
  <c r="AN8" i="21"/>
  <c r="AN49" i="19"/>
  <c r="AN8" i="19"/>
  <c r="AN8" i="18"/>
  <c r="AN49" i="17"/>
  <c r="AL7" i="35"/>
  <c r="L23" i="27"/>
  <c r="L21" i="27"/>
  <c r="L19" i="27"/>
  <c r="Y25" i="26"/>
  <c r="Y25" i="25"/>
  <c r="Y25" i="24"/>
  <c r="AV8" i="23"/>
  <c r="AR8" i="22"/>
  <c r="AN49" i="20"/>
  <c r="AN8" i="20"/>
  <c r="AN49" i="18"/>
  <c r="AN8" i="17"/>
  <c r="AN49" i="16"/>
  <c r="J13" i="3"/>
  <c r="AN8" i="16"/>
  <c r="J14" i="14"/>
  <c r="I10" i="43" l="1"/>
  <c r="I10" i="42"/>
  <c r="I7" i="44"/>
  <c r="H14" i="41"/>
  <c r="I25" i="40"/>
  <c r="H9" i="32"/>
  <c r="I26" i="33"/>
  <c r="I9" i="31"/>
  <c r="D40" i="7"/>
  <c r="D42" i="7"/>
  <c r="D43" i="7" s="1"/>
  <c r="D44" i="7" s="1"/>
  <c r="D39" i="7"/>
  <c r="K8" i="16"/>
  <c r="S8" i="16" s="1"/>
  <c r="S7" i="16"/>
  <c r="O19" i="24"/>
  <c r="AD43" i="19"/>
  <c r="L19" i="24"/>
  <c r="S43" i="19"/>
  <c r="L21" i="24"/>
  <c r="S45" i="19"/>
  <c r="J45" i="35"/>
  <c r="S44" i="35"/>
  <c r="J45" i="36"/>
  <c r="S44" i="36"/>
  <c r="J45" i="37"/>
  <c r="S44" i="37"/>
  <c r="J45" i="38"/>
  <c r="S44" i="38"/>
  <c r="AC41" i="49"/>
  <c r="AC41" i="50"/>
  <c r="AC43" i="50"/>
  <c r="AC43" i="49"/>
  <c r="S41" i="50"/>
  <c r="S41" i="49"/>
  <c r="S43" i="49"/>
  <c r="I44" i="49" s="1"/>
  <c r="S43" i="50"/>
  <c r="I44" i="50" s="1"/>
  <c r="J45" i="52"/>
  <c r="S44" i="52"/>
  <c r="J45" i="53"/>
  <c r="S44" i="53"/>
  <c r="D33" i="7"/>
  <c r="D35" i="7"/>
  <c r="B34" i="40"/>
  <c r="K33" i="40"/>
  <c r="K69" i="40"/>
  <c r="E71" i="40"/>
  <c r="E70" i="40"/>
  <c r="K70" i="40" s="1"/>
  <c r="J49" i="13"/>
  <c r="J50" i="13"/>
  <c r="J51" i="13"/>
  <c r="J52" i="13"/>
  <c r="K8" i="17"/>
  <c r="S8" i="17" s="1"/>
  <c r="S7" i="17"/>
  <c r="K8" i="19"/>
  <c r="S8" i="19" s="1"/>
  <c r="S7" i="19"/>
  <c r="K8" i="20"/>
  <c r="S8" i="20" s="1"/>
  <c r="S7" i="20"/>
  <c r="K8" i="21"/>
  <c r="S8" i="21" s="1"/>
  <c r="S7" i="21"/>
  <c r="K8" i="22"/>
  <c r="U7" i="22"/>
  <c r="H25" i="25"/>
  <c r="L25" i="25" s="1"/>
  <c r="L24" i="25"/>
  <c r="K7" i="36"/>
  <c r="S7" i="36" s="1"/>
  <c r="S6" i="36"/>
  <c r="I11" i="43"/>
  <c r="I11" i="42"/>
  <c r="H15" i="41"/>
  <c r="I8" i="44"/>
  <c r="I26" i="40"/>
  <c r="H10" i="32"/>
  <c r="I27" i="33"/>
  <c r="I10" i="31"/>
  <c r="O21" i="24"/>
  <c r="AD45" i="19"/>
  <c r="I12" i="43"/>
  <c r="I12" i="42"/>
  <c r="I9" i="44"/>
  <c r="H16" i="41"/>
  <c r="I27" i="40"/>
  <c r="H11" i="32"/>
  <c r="I28" i="33"/>
  <c r="I11" i="31"/>
  <c r="J48" i="16"/>
  <c r="S47" i="16"/>
  <c r="J48" i="17"/>
  <c r="S47" i="17"/>
  <c r="O20" i="24"/>
  <c r="AD44" i="19"/>
  <c r="O22" i="24"/>
  <c r="AD46" i="19"/>
  <c r="L20" i="24"/>
  <c r="S44" i="19"/>
  <c r="L22" i="24"/>
  <c r="F23" i="24" s="1"/>
  <c r="S46" i="19"/>
  <c r="K55" i="22"/>
  <c r="U54" i="22"/>
  <c r="J48" i="20"/>
  <c r="I47" i="20"/>
  <c r="J48" i="21"/>
  <c r="I47" i="21"/>
  <c r="J48" i="18"/>
  <c r="S47" i="18"/>
  <c r="K51" i="23"/>
  <c r="S51" i="23" s="1"/>
  <c r="J50" i="23"/>
  <c r="I49" i="23"/>
  <c r="AC42" i="49"/>
  <c r="AC42" i="50"/>
  <c r="S42" i="50"/>
  <c r="S42" i="49"/>
  <c r="D34" i="7"/>
  <c r="F5" i="48"/>
  <c r="E10" i="29"/>
  <c r="E38" i="28"/>
  <c r="E32" i="28"/>
  <c r="E28" i="28"/>
  <c r="E24" i="28"/>
  <c r="E11" i="29"/>
  <c r="E42" i="28"/>
  <c r="E35" i="28"/>
  <c r="E31" i="28"/>
  <c r="E25" i="28"/>
  <c r="J46" i="13"/>
  <c r="J47" i="13"/>
  <c r="G17" i="15"/>
  <c r="S6" i="16"/>
  <c r="J7" i="18"/>
  <c r="S6" i="18"/>
  <c r="H25" i="26"/>
  <c r="L25" i="26" s="1"/>
  <c r="L24" i="26"/>
  <c r="J6" i="35"/>
  <c r="S5" i="35"/>
  <c r="S6" i="17"/>
  <c r="L23" i="25"/>
  <c r="L23" i="26"/>
  <c r="S5" i="36"/>
  <c r="J6" i="37"/>
  <c r="S5" i="37"/>
  <c r="J6" i="38"/>
  <c r="S5" i="38"/>
  <c r="J6" i="49"/>
  <c r="S5" i="49"/>
  <c r="H15" i="47"/>
  <c r="H38" i="47"/>
  <c r="J6" i="50"/>
  <c r="S5" i="50"/>
  <c r="J6" i="52"/>
  <c r="S5" i="52"/>
  <c r="J6" i="53"/>
  <c r="S5" i="53"/>
  <c r="K7" i="53" l="1"/>
  <c r="S7" i="53" s="1"/>
  <c r="S6" i="53"/>
  <c r="K7" i="52"/>
  <c r="S7" i="52" s="1"/>
  <c r="S6" i="52"/>
  <c r="K7" i="50"/>
  <c r="S7" i="50" s="1"/>
  <c r="S6" i="50"/>
  <c r="K7" i="49"/>
  <c r="S7" i="49" s="1"/>
  <c r="S6" i="49"/>
  <c r="K7" i="38"/>
  <c r="S7" i="38" s="1"/>
  <c r="S6" i="38"/>
  <c r="K7" i="37"/>
  <c r="S7" i="37" s="1"/>
  <c r="S6" i="37"/>
  <c r="K7" i="35"/>
  <c r="S7" i="35" s="1"/>
  <c r="S6" i="35"/>
  <c r="K8" i="18"/>
  <c r="S8" i="18" s="1"/>
  <c r="S7" i="18"/>
  <c r="J48" i="19"/>
  <c r="I47" i="19"/>
  <c r="K46" i="53"/>
  <c r="S46" i="53" s="1"/>
  <c r="S45" i="53"/>
  <c r="K46" i="52"/>
  <c r="S46" i="52" s="1"/>
  <c r="S45" i="52"/>
  <c r="J45" i="49"/>
  <c r="S44" i="49"/>
  <c r="K46" i="38"/>
  <c r="S46" i="38" s="1"/>
  <c r="S45" i="38"/>
  <c r="K46" i="37"/>
  <c r="S46" i="37" s="1"/>
  <c r="S45" i="37"/>
  <c r="K46" i="36"/>
  <c r="S46" i="36" s="1"/>
  <c r="S45" i="36"/>
  <c r="K46" i="35"/>
  <c r="S46" i="35" s="1"/>
  <c r="S45" i="35"/>
  <c r="D48" i="7"/>
  <c r="D46" i="7"/>
  <c r="D45" i="7"/>
  <c r="D50" i="7"/>
  <c r="D47" i="7"/>
  <c r="K49" i="18"/>
  <c r="S49" i="18" s="1"/>
  <c r="S48" i="18"/>
  <c r="K49" i="21"/>
  <c r="S49" i="21" s="1"/>
  <c r="S48" i="21"/>
  <c r="K49" i="20"/>
  <c r="S49" i="20" s="1"/>
  <c r="S48" i="20"/>
  <c r="L56" i="22"/>
  <c r="U56" i="22" s="1"/>
  <c r="U55" i="22"/>
  <c r="G24" i="24"/>
  <c r="L23" i="24"/>
  <c r="K49" i="17"/>
  <c r="S49" i="17" s="1"/>
  <c r="S48" i="17"/>
  <c r="K49" i="16"/>
  <c r="S49" i="16" s="1"/>
  <c r="S48" i="16"/>
  <c r="U8" i="22"/>
  <c r="L9" i="22"/>
  <c r="U9" i="22" s="1"/>
  <c r="I31" i="40"/>
  <c r="I137" i="40" s="1"/>
  <c r="H31" i="40"/>
  <c r="H137" i="40" s="1"/>
  <c r="J45" i="50"/>
  <c r="S44" i="50"/>
  <c r="K46" i="50" l="1"/>
  <c r="S46" i="50" s="1"/>
  <c r="S45" i="50"/>
  <c r="H25" i="24"/>
  <c r="L25" i="24" s="1"/>
  <c r="L24" i="24"/>
  <c r="K46" i="49"/>
  <c r="S46" i="49" s="1"/>
  <c r="S45" i="49"/>
  <c r="K49" i="19"/>
  <c r="S49" i="19" s="1"/>
  <c r="S48" i="19"/>
</calcChain>
</file>

<file path=xl/comments1.xml><?xml version="1.0" encoding="utf-8"?>
<comments xmlns="http://schemas.openxmlformats.org/spreadsheetml/2006/main">
  <authors>
    <author>Author</author>
  </authors>
  <commentList>
    <comment ref="F29" authorId="0" shapeId="0">
      <text>
        <r>
          <rPr>
            <sz val="9"/>
            <color indexed="81"/>
            <rFont val="Tahoma"/>
            <family val="2"/>
          </rPr>
          <t>Выбор организации двойным щелчком левой клавиши мыши</t>
        </r>
      </text>
    </comment>
    <comment ref="E35" authorId="0" shapeId="0">
      <text>
        <r>
          <rPr>
            <sz val="9"/>
            <color indexed="81"/>
            <rFont val="Arial"/>
            <family val="2"/>
          </rPr>
          <t>ОСН - Общая система налогообложения
УСН - Упрощённая система налогообложения
ЕСХН - Единый сельскохозяйственный налог
ПСН - Патентная система налогообложения
НПД - Налог на профессиональный доход</t>
        </r>
      </text>
    </comment>
  </commentList>
</comments>
</file>

<file path=xl/comments2.xml><?xml version="1.0" encoding="utf-8"?>
<comments xmlns="http://schemas.openxmlformats.org/spreadsheetml/2006/main">
  <authors>
    <author>Author</author>
  </authors>
  <commentList>
    <comment ref="P2" authorId="0" shapeId="0">
      <text>
        <r>
          <rPr>
            <sz val="9"/>
            <color indexed="81"/>
            <rFont val="Arial"/>
            <family val="2"/>
          </rPr>
          <t>сюда же для некоторых формул может входить:
- VOTV
- HOTVSNA</t>
        </r>
      </text>
    </comment>
    <comment ref="U2" authorId="0" shapeId="0">
      <text>
        <r>
          <rPr>
            <sz val="9"/>
            <color indexed="81"/>
            <rFont val="Arial"/>
            <family val="2"/>
          </rPr>
          <t>сюда же для некоторых формул может входить:
- VOTV
- HOTVSNA</t>
        </r>
      </text>
    </comment>
  </commentList>
</comments>
</file>

<file path=xl/comments3.xml><?xml version="1.0" encoding="utf-8"?>
<comments xmlns="http://schemas.openxmlformats.org/spreadsheetml/2006/main">
  <authors>
    <author>Author</author>
  </authors>
  <commentList>
    <comment ref="AZ1" authorId="0" shapeId="0">
      <text>
        <r>
          <rPr>
            <sz val="9"/>
            <color indexed="81"/>
            <rFont val="Tahoma"/>
            <family val="2"/>
          </rPr>
          <t>Тип организации</t>
        </r>
      </text>
    </comment>
  </commentList>
</comments>
</file>

<file path=xl/sharedStrings.xml><?xml version="1.0" encoding="utf-8"?>
<sst xmlns="http://schemas.openxmlformats.org/spreadsheetml/2006/main" count="13005" uniqueCount="3232">
  <si>
    <t xml:space="preserve"> (требуется обновление)</t>
  </si>
  <si>
    <t>Код отчёта: PP108.OPEN.INFO.BALANCE.HOTVSNA.EIAS</t>
  </si>
  <si>
    <t>Версия отчёта: 1.0.0</t>
  </si>
  <si>
    <t>Условные обозначения</t>
  </si>
  <si>
    <t>A</t>
  </si>
  <si>
    <t xml:space="preserve"> - предназначенные для заполнения</t>
  </si>
  <si>
    <t xml:space="preserve"> - ссылки и автозаполняемые поля</t>
  </si>
  <si>
    <t xml:space="preserve"> - с формулами и константами</t>
  </si>
  <si>
    <t xml:space="preserve"> - обязательные для заполнения</t>
  </si>
  <si>
    <t>Работа с реестрами</t>
  </si>
  <si>
    <t>Если в предложенном Вам списке необходимая организация, территория или объект отсутствуют, обновите списки с помощью элементов управления на листах. Если после обновления Вам не удалось найти необходимую позицию в списке, обратитесь к ответственному за поддержание реестра Вашего региона либо в Отдел сопровождения пользователей ЕИАС.</t>
  </si>
  <si>
    <t>Проверка отчёта</t>
  </si>
  <si>
    <t>• При сохранении отчётной формы осуществляется проверка корректности данных_x000D_
• Для каждого сообщения возможны 2 статуса: ошибка и предупреждение_x000D_
• При наличии сообщений со статусом «Ошибка» файл будет отклонён системой и не будет загружен в хранилище данных, сообщения со статусом «Предупреждение» носят информационный характер, и такой файл будет принят к обработке системой</t>
  </si>
  <si>
    <t>Субъект РФ</t>
  </si>
  <si>
    <t>Астраханская область</t>
  </si>
  <si>
    <t>PRICE, REQUEST</t>
  </si>
  <si>
    <t>Начало_x000D_
периода регулирования</t>
  </si>
  <si>
    <t/>
  </si>
  <si>
    <t>Как заполнить?</t>
  </si>
  <si>
    <t>Начало периода регулирования</t>
  </si>
  <si>
    <t>Окончание_x000D_
периода регулирования</t>
  </si>
  <si>
    <t>Окончание периода регулирования</t>
  </si>
  <si>
    <t>ORG</t>
  </si>
  <si>
    <t>Дата_x000D_
предоставления информации</t>
  </si>
  <si>
    <t>Дата предоставления информации</t>
  </si>
  <si>
    <t>BALANCE, QUARTER, TERMS</t>
  </si>
  <si>
    <t>Год</t>
  </si>
  <si>
    <t>Отчётный период (год)</t>
  </si>
  <si>
    <t>QUARTER</t>
  </si>
  <si>
    <t>Квартал</t>
  </si>
  <si>
    <t>Отчётный период (квартал)</t>
  </si>
  <si>
    <t>Тип отчёта</t>
  </si>
  <si>
    <t>первичное раскрытие информации</t>
  </si>
  <si>
    <t>Дата внесения изменений в информацию, подлежащую раскрытию</t>
  </si>
  <si>
    <t>04.07.2023</t>
  </si>
  <si>
    <t>Отображается, если тип отчёта - изменение</t>
  </si>
  <si>
    <t>Дата периода регулирования, с которой вводятся изменения в тарифы</t>
  </si>
  <si>
    <t>Данный блок предлагается заполнять из отчётной формы BALANCE.CALC.TARIFF.ххх.хххх</t>
  </si>
  <si>
    <t>Наименование органа регулирования, принявшего решение об утверждении тарифов</t>
  </si>
  <si>
    <t>Источник официального опубликования решения</t>
  </si>
  <si>
    <t>Открывается, если Тип отчёта "изменения в раскрытой ранее информации"</t>
  </si>
  <si>
    <t>Наименование органа регулирования, принявшего решение об изменении тарифов</t>
  </si>
  <si>
    <t>Дата принятия решения об изменении тарифов</t>
  </si>
  <si>
    <t>Номер принятия решения об изменении тарифов</t>
  </si>
  <si>
    <t>Наименование ЮЛ / ИП</t>
  </si>
  <si>
    <t>МУП г. Астрахани "Коммунэнерго"</t>
  </si>
  <si>
    <t>Наименование (описание) обособленного подразделения</t>
  </si>
  <si>
    <t>ИНН</t>
  </si>
  <si>
    <t>3018010781</t>
  </si>
  <si>
    <t>КПП</t>
  </si>
  <si>
    <t>301801001</t>
  </si>
  <si>
    <t>Тип теплоснабжающей организации</t>
  </si>
  <si>
    <t>Система налогообложения</t>
  </si>
  <si>
    <t>ОСН</t>
  </si>
  <si>
    <t>Отсутствует Интернет в границах территории МО, где организация осуществляет регулируемые виды деятельности</t>
  </si>
  <si>
    <t>нет</t>
  </si>
  <si>
    <t>Опубликовать индикативный предельный уровень цен на тепловую энергию (мощность)</t>
  </si>
  <si>
    <t>График поэтапного равномерного доведения предельного уровня цены на тепловую энергию (мощность)</t>
  </si>
  <si>
    <r>
      <t xml:space="preserve">Тариф на горячую воду предлагается </t>
    </r>
    <r>
      <rPr>
        <b/>
        <sz val="9"/>
        <rFont val="Tahoma"/>
        <family val="2"/>
        <charset val="204"/>
      </rPr>
      <t>с (!)</t>
    </r>
    <r>
      <rPr>
        <sz val="9"/>
        <rFont val="Tahoma"/>
        <family val="2"/>
        <charset val="204"/>
      </rPr>
      <t xml:space="preserve"> разбивкой по поставщикам</t>
    </r>
  </si>
  <si>
    <r>
      <t xml:space="preserve">Тариф на горячую воду предлагается </t>
    </r>
    <r>
      <rPr>
        <b/>
        <sz val="9"/>
        <rFont val="Tahoma"/>
        <family val="2"/>
        <charset val="204"/>
      </rPr>
      <t>без (!)</t>
    </r>
    <r>
      <rPr>
        <sz val="9"/>
        <rFont val="Tahoma"/>
        <family val="2"/>
        <charset val="204"/>
      </rPr>
      <t xml:space="preserve"> разбивки на компоненты</t>
    </r>
  </si>
  <si>
    <t>Организация осуществляет поставку товаров (оказание услуг) только по нерегулируемым ценам</t>
  </si>
  <si>
    <t>Регулируемая организация осуществляет сдачу годового бухгалтерского баланса в налоговые органы</t>
  </si>
  <si>
    <t>да</t>
  </si>
  <si>
    <t>Дата направления годового бухгалтерского баланса в налоговые органы</t>
  </si>
  <si>
    <t>18.03.2024</t>
  </si>
  <si>
    <t>Превышает ли выручка от регулируемой деятельности 80% совокупной выручки за отчетный год</t>
  </si>
  <si>
    <t>Организация выполняет инвестиционную программу</t>
  </si>
  <si>
    <t>Детализация инвестиционных программ осуществляется</t>
  </si>
  <si>
    <t>Оператор по обращению с твёрдыми коммунальными отходами, осуществляет деятельность по транспортированию твёрдых коммунальных отходов</t>
  </si>
  <si>
    <t>Почтовый адрес регулируемой организации</t>
  </si>
  <si>
    <t>414006, г.Астрахань, ул.Пушкина / пер Гаршина, 46/2</t>
  </si>
  <si>
    <t>Фамилия, имя, отчество руководителя</t>
  </si>
  <si>
    <t>Дмитриев Александр Викторович</t>
  </si>
  <si>
    <t>Ответственный за заполнение формы</t>
  </si>
  <si>
    <t>Фамилия, имя, отчество</t>
  </si>
  <si>
    <t>Никешина Елена Валерьевна / Бобков Алексей Сергеевич</t>
  </si>
  <si>
    <t>Должность</t>
  </si>
  <si>
    <t>Экономист ФЭО / Начальник ПТО</t>
  </si>
  <si>
    <t>Контактный телефон</t>
  </si>
  <si>
    <t>(88512) 55-93-23 / (88512) 56-52-17</t>
  </si>
  <si>
    <t>E-mail</t>
  </si>
  <si>
    <t>komunenergo@bk.ru</t>
  </si>
  <si>
    <t>МР</t>
  </si>
  <si>
    <t>МО</t>
  </si>
  <si>
    <t>ОКТМО</t>
  </si>
  <si>
    <t>Муниципальный район</t>
  </si>
  <si>
    <t>Муниципальное образование</t>
  </si>
  <si>
    <t>№ п/п</t>
  </si>
  <si>
    <t>Наименование</t>
  </si>
  <si>
    <t>3</t>
  </si>
  <si>
    <t>4</t>
  </si>
  <si>
    <t>6</t>
  </si>
  <si>
    <t>7</t>
  </si>
  <si>
    <t>размерженный МР</t>
  </si>
  <si>
    <t>флаг используемости территории на листе Перечень тарифов</t>
  </si>
  <si>
    <t>копия территорий</t>
  </si>
  <si>
    <t>МР (ОКТМО)</t>
  </si>
  <si>
    <t>ter_1</t>
  </si>
  <si>
    <t>39</t>
  </si>
  <si>
    <t>Город Астрахань</t>
  </si>
  <si>
    <t>12701000</t>
  </si>
  <si>
    <t>Добавить МО</t>
  </si>
  <si>
    <t>Добавить территорию оказания услуг</t>
  </si>
  <si>
    <t>Добавить территорию действия тарифа</t>
  </si>
  <si>
    <t>Вид деятельности</t>
  </si>
  <si>
    <t>Дифференциация по территориям</t>
  </si>
  <si>
    <t>Дифференциация по централизованным системам</t>
  </si>
  <si>
    <t>да/нет</t>
  </si>
  <si>
    <t>1</t>
  </si>
  <si>
    <t>2</t>
  </si>
  <si>
    <t>5</t>
  </si>
  <si>
    <t>8</t>
  </si>
  <si>
    <t>ID_DIFF</t>
  </si>
  <si>
    <t>VD</t>
  </si>
  <si>
    <t>AREA</t>
  </si>
  <si>
    <t>SYSTEM</t>
  </si>
  <si>
    <t>Котельная № Т-29</t>
  </si>
  <si>
    <t>diff_1</t>
  </si>
  <si>
    <t>4189702</t>
  </si>
  <si>
    <t>a</t>
  </si>
  <si>
    <t>Добавить централизованную систему</t>
  </si>
  <si>
    <t>Добавить описание территории</t>
  </si>
  <si>
    <t>Добавить вид деятельности</t>
  </si>
  <si>
    <t>Вид тарифа</t>
  </si>
  <si>
    <t>Наименование тарифа</t>
  </si>
  <si>
    <t>Дифференциация по_x000D_
 МО (территориям)</t>
  </si>
  <si>
    <t>Дифференциация по _x000D_
централизованным системам</t>
  </si>
  <si>
    <t>Дифференциация по источникам тепловой энергии</t>
  </si>
  <si>
    <t>Примечание</t>
  </si>
  <si>
    <t>Установлен для организации</t>
  </si>
  <si>
    <t>Описание</t>
  </si>
  <si>
    <t>TER_ID</t>
  </si>
  <si>
    <t>VTAR_ID</t>
  </si>
  <si>
    <t>VD_ID</t>
  </si>
  <si>
    <t>ID_VTAR</t>
  </si>
  <si>
    <t>ID_NTAR</t>
  </si>
  <si>
    <t>ID_TER</t>
  </si>
  <si>
    <t>ID_CS</t>
  </si>
  <si>
    <t>ID_IST_TE</t>
  </si>
  <si>
    <t>ВидТарифа</t>
  </si>
  <si>
    <t>ВидДеятельности</t>
  </si>
  <si>
    <t>НаименованиеТарифа</t>
  </si>
  <si>
    <t>Территория</t>
  </si>
  <si>
    <t>ЦентрализованнаяСистема</t>
  </si>
  <si>
    <t>ИсточникТепловойЭнергии</t>
  </si>
  <si>
    <t>№ п.п НаименованиеТарифа</t>
  </si>
  <si>
    <t>№ п.п Территория</t>
  </si>
  <si>
    <t>№ п.п ЦентрализованнаяСистема</t>
  </si>
  <si>
    <t>№ п.п ИсточникТепловойЭнергии</t>
  </si>
  <si>
    <t>9</t>
  </si>
  <si>
    <t>10</t>
  </si>
  <si>
    <t>11</t>
  </si>
  <si>
    <t>12</t>
  </si>
  <si>
    <t>13</t>
  </si>
  <si>
    <t>14</t>
  </si>
  <si>
    <t>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t>
  </si>
  <si>
    <t>pIns_PT_VTAR_A</t>
  </si>
  <si>
    <t>pt_ntar_1</t>
  </si>
  <si>
    <t>pt_ter_1</t>
  </si>
  <si>
    <t>pt_cs_1</t>
  </si>
  <si>
    <t>pt_ist_te_1</t>
  </si>
  <si>
    <t>pt_cs_60</t>
  </si>
  <si>
    <t>pt_ist_te_86</t>
  </si>
  <si>
    <t>Тарифы на тепловую энергию (мощность), поставляемую теплоснабжающими организациями потребителям, другим теплоснабжающим организациям</t>
  </si>
  <si>
    <t>pIns_PT_VTAR_B</t>
  </si>
  <si>
    <t>pt_ntar_2</t>
  </si>
  <si>
    <t>pt_ter_2</t>
  </si>
  <si>
    <t>pt_cs_2</t>
  </si>
  <si>
    <t>pt_ist_te_2</t>
  </si>
  <si>
    <t>Тарифы на теплоноситель, поставляемый теплоснабжающими организациями потребителям, другим теплоснабжающим организациям</t>
  </si>
  <si>
    <t>pIns_PT_VTAR_C</t>
  </si>
  <si>
    <t>pt_ntar_3</t>
  </si>
  <si>
    <t>pt_ter_3</t>
  </si>
  <si>
    <t>pt_cs_3</t>
  </si>
  <si>
    <t>pt_ist_te_3</t>
  </si>
  <si>
    <t>Тарифы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t>
  </si>
  <si>
    <t>pIns_PT_VTAR_D</t>
  </si>
  <si>
    <t>pt_ntar_4</t>
  </si>
  <si>
    <t>pt_ter_4</t>
  </si>
  <si>
    <t>pt_cs_4</t>
  </si>
  <si>
    <t>pt_ist_te_4</t>
  </si>
  <si>
    <t>Тарифы на услуги по передаче тепловой энергии</t>
  </si>
  <si>
    <t>pIns_PT_VTAR_E1</t>
  </si>
  <si>
    <t>pt_ntar_5</t>
  </si>
  <si>
    <t>pt_ter_5</t>
  </si>
  <si>
    <t>pt_cs_5</t>
  </si>
  <si>
    <t>pt_ist_te_5</t>
  </si>
  <si>
    <t>Тарифы на услуги по передаче теплоносителя</t>
  </si>
  <si>
    <t>pIns_PT_VTAR_E2</t>
  </si>
  <si>
    <t>pt_ntar_6</t>
  </si>
  <si>
    <t>pt_ter_6</t>
  </si>
  <si>
    <t>pt_cs_6</t>
  </si>
  <si>
    <t>pt_ist_te_6</t>
  </si>
  <si>
    <t>pt_ter_44</t>
  </si>
  <si>
    <t>pt_cs_50</t>
  </si>
  <si>
    <t>pt_ist_te_76</t>
  </si>
  <si>
    <t>Плата за услуги по поддержанию резервной тепловой мощности при отсутствии потребления тепловой энергии</t>
  </si>
  <si>
    <t>pIns_PT_VTAR_F</t>
  </si>
  <si>
    <t>pt_ntar_7</t>
  </si>
  <si>
    <t>pt_ter_7</t>
  </si>
  <si>
    <t>pt_cs_7</t>
  </si>
  <si>
    <t>pt_ist_te_7</t>
  </si>
  <si>
    <t>Плата за подключение (технологическое присоединение) к системе теплоснабжения</t>
  </si>
  <si>
    <t>pIns_PT_VTAR_G</t>
  </si>
  <si>
    <t>pt_ntar_8</t>
  </si>
  <si>
    <t>pt_ter_8</t>
  </si>
  <si>
    <t>pt_cs_8</t>
  </si>
  <si>
    <t>pt_ist_te_8</t>
  </si>
  <si>
    <t>Информация о регулируемых ценах (тарифах) на товары (услуги) единой теплоснабжающей организации в ценовых зонах теплоснабжения включает сведения:</t>
  </si>
  <si>
    <t>- о предельном уровне цены на тепловую энергию (мощность), поставляемую потребителям, об индикативном предельном уровне цены на тепловую энергию (мощность) и о графике поэтапного равномерного доведения предельного уровня цены на тепловую энергию (мощность) (при наличии), определяемых в соответствии с Правилами определения в ценовых зонах теплоснабжения предельного уровня цены на тепловую энергию (мощность), включая правила индексации предельного уровня цены на тепловую энергию (мощность), утвержденными ПП РФ от 15 декабря 2017 г. № 1562 "Об определении в ценовых зонах теплоснабжения предельного уровня цены на тепловую энергию (мощность), включая индексацию предельного уровня цены на тепловую энергию (мощность), и технико-экономических параметров работы котельных и тепловых сетей, используемых для расчета предельного уровня цены на тепловую энергию (мощность)";</t>
  </si>
  <si>
    <t>-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23.4 ФЗ "О теплоснабжении";</t>
  </si>
  <si>
    <t>- о тарифах на горячую воду, поставляемую единой теплоснабжающей организацией потребителям с использованием открытых систем теплоснабжения (горячего водоснабжения), установленных в виде формулы двухкомпонентного тарифа с использованием компонента на теплоноситель и компонента на тепловую энергию, в том числе о числовых значениях компонентов указанного тарифа;</t>
  </si>
  <si>
    <t>- о плате за подключение (технологическое присоединение) к системе теплоснабжения, применяемой в случае, установленном частью 9 статьи 23.4 ФЗ "О теплоснабжении".</t>
  </si>
  <si>
    <t>Информация о регулируемых ценах (тарифах) на товары (услуги) теплоснабжающей организации и теплосетевой организации в ценовых зонах теплоснабжения включает сведения:</t>
  </si>
  <si>
    <t>- о тарифах на теплоноситель в виде воды, поставляемый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23.4 ФЗ "О теплоснабжении";</t>
  </si>
  <si>
    <t>- о тарифах на товары (услуги) в сфере теплоснабжения в случаях, указанных в частях 12.1 - 12.4 статьи 10 ФЗ "О теплоснабжении"</t>
  </si>
  <si>
    <t>Тариф на питьевую воду (питьевое водоснабжение)</t>
  </si>
  <si>
    <t>pIns_PT_VTAR_A_COLDVSNA</t>
  </si>
  <si>
    <t>pt_ntar_9</t>
  </si>
  <si>
    <t>pt_ter_9</t>
  </si>
  <si>
    <t>pt_cs_9</t>
  </si>
  <si>
    <t>Тариф на техническую воду</t>
  </si>
  <si>
    <t>pIns_PT_VTAR_B_COLDVSNA</t>
  </si>
  <si>
    <t>pt_ntar_10</t>
  </si>
  <si>
    <t>pt_ter_10</t>
  </si>
  <si>
    <t>pt_cs_10</t>
  </si>
  <si>
    <t>Тариф на транспортировку воды</t>
  </si>
  <si>
    <t>pIns_PT_VTAR_C_COLDVSNA</t>
  </si>
  <si>
    <t>pt_ntar_11</t>
  </si>
  <si>
    <t>pt_ter_11</t>
  </si>
  <si>
    <t>pt_cs_11</t>
  </si>
  <si>
    <t>Тариф на подвоз воды</t>
  </si>
  <si>
    <t>pIns_PT_VTAR_D_COLDVSNA</t>
  </si>
  <si>
    <t>pt_ntar_12</t>
  </si>
  <si>
    <t>pt_ter_12</t>
  </si>
  <si>
    <t>pt_cs_12</t>
  </si>
  <si>
    <t>Тариф на подключение (технологическое присоединение) к централизованной системе холодного водоснабжения</t>
  </si>
  <si>
    <t>pIns_PT_VTAR_E_COLDVSNA</t>
  </si>
  <si>
    <t>pt_ntar_13</t>
  </si>
  <si>
    <t>pt_ter_13</t>
  </si>
  <si>
    <t>pt_cs_13</t>
  </si>
  <si>
    <t>Тариф на горячую воду (горячее водоснабжение)</t>
  </si>
  <si>
    <t>pIns_PT_VTAR_A_HOTVSNA</t>
  </si>
  <si>
    <t>pt_ntar_14</t>
  </si>
  <si>
    <t>pt_ter_14</t>
  </si>
  <si>
    <t>pt_cs_14</t>
  </si>
  <si>
    <t>Тариф на транспортировку горячей воды</t>
  </si>
  <si>
    <t>pIns_PT_VTAR_B_HOTVSNA</t>
  </si>
  <si>
    <t>pt_ntar_15</t>
  </si>
  <si>
    <t>pt_ter_15</t>
  </si>
  <si>
    <t>pt_cs_15</t>
  </si>
  <si>
    <t>Тариф на подключение (технологическое присоединение) к централизованной системе горячего водоснабжения</t>
  </si>
  <si>
    <t>pIns_PT_VTAR_C_HOTVSNA</t>
  </si>
  <si>
    <t>pt_ntar_16</t>
  </si>
  <si>
    <t>pt_ter_16</t>
  </si>
  <si>
    <t>pt_cs_16</t>
  </si>
  <si>
    <t>Тариф на водоотведение</t>
  </si>
  <si>
    <t>pIns_PT_VTAR_A_VOTV</t>
  </si>
  <si>
    <t>pt_ntar_17</t>
  </si>
  <si>
    <t>pt_ter_17</t>
  </si>
  <si>
    <t>pt_cs_17</t>
  </si>
  <si>
    <t>Тариф на транспортировку сточных вод</t>
  </si>
  <si>
    <t>pIns_PT_VTAR_B_VOTV</t>
  </si>
  <si>
    <t>pt_ntar_18</t>
  </si>
  <si>
    <t>pt_ter_18</t>
  </si>
  <si>
    <t>pt_cs_18</t>
  </si>
  <si>
    <t>Тариф на подключение (технологическое присоединение) к централизованной системе водоотведения</t>
  </si>
  <si>
    <t>pIns_PT_VTAR_C_VOTV</t>
  </si>
  <si>
    <t>pt_ntar_19</t>
  </si>
  <si>
    <t>pt_ter_19</t>
  </si>
  <si>
    <t>pt_cs_19</t>
  </si>
  <si>
    <t>fdif</t>
  </si>
  <si>
    <t>fdif_e</t>
  </si>
  <si>
    <t>fdif_1</t>
  </si>
  <si>
    <t>Дифференциация тарифов в области обращения с твердыми коммунальными отходами</t>
  </si>
  <si>
    <t>Дифференциация по технологическим особенностям</t>
  </si>
  <si>
    <t>Дифференциация по территории оказания услуг</t>
  </si>
  <si>
    <t>Дифференциация по виду твердых коммунальных отходов</t>
  </si>
  <si>
    <t>Дифференциация по классу опасности твердых коммунальных отходов</t>
  </si>
  <si>
    <t>Комментарий</t>
  </si>
  <si>
    <t>Дифференциация, да/нет</t>
  </si>
  <si>
    <t>Значение</t>
  </si>
  <si>
    <t>Тарифы</t>
  </si>
  <si>
    <t>Прочие показатели</t>
  </si>
  <si>
    <t>AREA_ID</t>
  </si>
  <si>
    <t>Оказание услуги по обращению с твердыми коммунальными отходами региональным оператором</t>
  </si>
  <si>
    <t>Единый тариф на услугу регионального оператора по обращению с твердыми коммунальными отходами</t>
  </si>
  <si>
    <t>Тариф на обработку твердых коммунальных отходов</t>
  </si>
  <si>
    <t>Тариф на обезвреживание твердых коммунальных отходов</t>
  </si>
  <si>
    <t>Тариф на захоронение твердых коммунальных отходов</t>
  </si>
  <si>
    <t>Тариф на энергетическую утилизацию</t>
  </si>
  <si>
    <t>Фирменное наименование юридического лица (согласно уставу регулируемой организации)</t>
  </si>
  <si>
    <t>Параметры формы</t>
  </si>
  <si>
    <t>Описание параметров формы</t>
  </si>
  <si>
    <t>Наименование параметра</t>
  </si>
  <si>
    <t>Информация</t>
  </si>
  <si>
    <t>Субъект Российской Федерации</t>
  </si>
  <si>
    <t>Указывается наименование субъекта Российской Федерации</t>
  </si>
  <si>
    <t>x</t>
  </si>
  <si>
    <t>2.2</t>
  </si>
  <si>
    <t>идентификационный номер налогоплательщика (ИНН)</t>
  </si>
  <si>
    <t>Указывается идентификационный номер налогоплательщика.</t>
  </si>
  <si>
    <t>2.3</t>
  </si>
  <si>
    <t>код причины постановки на учет (КПП)</t>
  </si>
  <si>
    <t>Указывается код причины постановки на учет (при наличии).</t>
  </si>
  <si>
    <t>Сведения о присвоении статуса единой теплоснабжающей организации:</t>
  </si>
  <si>
    <t>Информация в строках 5.1 - 5.4 указывается только едиными теплоснабжающими организациями.</t>
  </si>
  <si>
    <t>5.1</t>
  </si>
  <si>
    <t>наименование органа, принявшего решение о присвоении статуса единой теплоснабжающей организации</t>
  </si>
  <si>
    <t>5.2</t>
  </si>
  <si>
    <t>дата решения</t>
  </si>
  <si>
    <t>Дата принятия решения о присвоении статуса единой теплоснабжающей организации указывается в виде «ДД.ММ.ГГГГ».</t>
  </si>
  <si>
    <t>5.3</t>
  </si>
  <si>
    <t>номер решения</t>
  </si>
  <si>
    <t>5.4</t>
  </si>
  <si>
    <t>границы зоны (зон) деятельности</t>
  </si>
  <si>
    <t>Указывается описание зоны (зон) деятельности единой теплоснабжающей организации.</t>
  </si>
  <si>
    <t>Данные должностного лица, ответственного за размещение данных</t>
  </si>
  <si>
    <t>3.1</t>
  </si>
  <si>
    <t>фамилия, имя и отчество должностного лица</t>
  </si>
  <si>
    <t>3.1.1</t>
  </si>
  <si>
    <t>фамилия должностного лица</t>
  </si>
  <si>
    <t>3.1.2</t>
  </si>
  <si>
    <t>имя должностного лица</t>
  </si>
  <si>
    <t>3.1.3</t>
  </si>
  <si>
    <t>отчество должностного лица</t>
  </si>
  <si>
    <t>3.2</t>
  </si>
  <si>
    <t>должность</t>
  </si>
  <si>
    <t>3.3</t>
  </si>
  <si>
    <t>контактный телефон</t>
  </si>
  <si>
    <t>3.4</t>
  </si>
  <si>
    <t>адрес электронной почты</t>
  </si>
  <si>
    <t>Указывается наименование субъекта Российской Федерации, муниципального района, города, иного населенного пункта, улицы, номер дома, при необходимости указывается корпус, строение, литера или дополнительная территория._x000D_
Данные указываются согласно наименованиям адресных объектов в ФГИС ЕИАС.</t>
  </si>
  <si>
    <t>Добавить контактный телефон</t>
  </si>
  <si>
    <t>Указывается при наличии</t>
  </si>
  <si>
    <t>Режим работы</t>
  </si>
  <si>
    <t>Указывается режим работы регулируемой организации. В случае наличия нескольких режимов работы регулируемой организации, информация по каждому из них указывается в отдельной строке.</t>
  </si>
  <si>
    <t>режим работы абонентских отделов</t>
  </si>
  <si>
    <t>Указывается режим работы абонентских отделов регулируемой организации. В случае наличия нескольких абонентских отделов и (или) режимов работы абонентских отделов, информация по каждому из них указывается в отдельной строке.</t>
  </si>
  <si>
    <t>режим работы сбытовых подразделений</t>
  </si>
  <si>
    <t>Указывается режим работы сбытовых подразделений регулируемой организации. В случае наличия нескольких сбытовых подразделений и (или) режимов работы сбытовых подразделений, информация по каждому из них указывается в отдельной строке.</t>
  </si>
  <si>
    <t>режим работы диспетчерских служб</t>
  </si>
  <si>
    <t>Указывается режим работы диспетчерских служб регулируемой организации. В случае наличия нескольких диспетчерских служб и (или) режимов работы диспетчерских служб, информация по каждому из них указывается в отдельной строке.</t>
  </si>
  <si>
    <t>Добавить режим работы</t>
  </si>
  <si>
    <t>В случае наличия дополнительных режимов работы регулируемой организации (подразделений регулируемой организации) информация по каждому из них указывается в отдельной строке.</t>
  </si>
  <si>
    <t>Наличие или отсутствие утвержденной в установленном порядке инвестиционной программы</t>
  </si>
  <si>
    <t>BLOCK_MAIN_INFO_OBJECT_HEAT</t>
  </si>
  <si>
    <t>BLOCK_MAIN_INFO_OBJECT_VOTV</t>
  </si>
  <si>
    <t>BLOCK_MAIN_INFO_OBJECT_COLDVSNA</t>
  </si>
  <si>
    <t>BLOCK_MAIN_INFO_OBJECT_HOTVSNA</t>
  </si>
  <si>
    <t>D:T</t>
  </si>
  <si>
    <t>Протяженность магистральных сетей (в однотрубном исчислении), км.</t>
  </si>
  <si>
    <t>Протяженность разводящих сетей (в однотрубном исчислении), км.</t>
  </si>
  <si>
    <t>Теплоэлектростанции</t>
  </si>
  <si>
    <t>Тепловые станции</t>
  </si>
  <si>
    <t>Котельные</t>
  </si>
  <si>
    <t>Количество центральных тепловых пунктов, шт.</t>
  </si>
  <si>
    <t>Протяженность канализационных сетей (в однотрубном исчислении), км.</t>
  </si>
  <si>
    <t>Количество насосных станций, шт.</t>
  </si>
  <si>
    <t>Количество очистных сооружений, шт.</t>
  </si>
  <si>
    <t>Протяженность водопроводных сетей (в однотрубном исчислении), км</t>
  </si>
  <si>
    <t>Количество скважин, шт.</t>
  </si>
  <si>
    <t>Количество подкачивающих насосных станций, шт.</t>
  </si>
  <si>
    <t>Протяженность сетей горячего водоснабжения (в однотрубном исчислении), км</t>
  </si>
  <si>
    <t>Количество теплоэлектростанций, шт.</t>
  </si>
  <si>
    <t>Установленная электрическая мощность</t>
  </si>
  <si>
    <t>Единицы изменения</t>
  </si>
  <si>
    <t>Установленная тепловая мощность, Гкал/ч</t>
  </si>
  <si>
    <t>Количество тепловых станций, шт.</t>
  </si>
  <si>
    <t>Количество котельных, шт.</t>
  </si>
  <si>
    <t>0</t>
  </si>
  <si>
    <t>Значения протяженности сетей, показателей в блоках "Теплоэлектростанции", "Тепловые станции", "Котельные" (за исключением колонки "Единицы измерения"), количества центральных тепловых пунктов указываются в виде целых и неотрицательных чисел._x000D_
В случае отсутствия тепловых сетей, теплоэлектростанций, тепловых станций, котельных, центральных тепловых пунктов в соответствующей колонке указывается значение 0._x000D_
В колонке "Единицы измерения" в блоке "Теплоэлектростанции" выбирается одно из значений: кВт*ч или МВт._x000D_
В случае оказания услуг в нескольких системах теплоснабжения информация по каждой из них указывается в отдельной строке.</t>
  </si>
  <si>
    <t>Значения протяженности сетей, количества насосных станций, количества очистных сооружений указываются в виде целых и  неотрицательных чисел._x000D_
В случае отсутствия канализационных сетей, насосных станций, очистных сооружений в соответствующей колонке указывается значение 0._x000D_
В случае осуществления регулируемых видов деятельности в нескольких централизованных системах водоотведения информация по каждой из них указывается в отдельной строке._x000D_
В случае осуществления регулируемых видов деятельности с использованием одной централизованной системы водоотведения на территории нескольких субъектов Российской Федерации значение показателя указывается в целом по данной централизованной системе</t>
  </si>
  <si>
    <t>Значения протяженности сетей, количества скважин, количества подкачивающих насосных станций указываются в виде целых и неотрицательных чисел._x000D_
В случае отсутствия водопроводных сетей, скважин, подкачивающих станций в соответствующей колонке указывается значение 0._x000D_
В случае осуществления регулируемых видов деятельности в нескольких централизованных системах холодного водоснабжения информация по каждой из них указывается в отдельной строке._x000D_
В случае осуществления регулируемых видов деятельности с использованием одной централизованной системы холодного водоснабжения на территории нескольких субъектов Российской Федерации значение показателя указывается в целом по данной централизованной системе.</t>
  </si>
  <si>
    <t>Значения протяженности сетей, количества центральных тепловых пунктов указываются в виде целых и неотрицательных чисел._x000D_
В случае отсутствия водопроводных сетей, центральных тепловых пунктов в соответствующей колонке указывается значение 0._x000D_
В случае осуществления регулируемых видов деятельности в нескольких централизованных системах горячего водоснабжения информация по каждой из них указывается в отдельной строке.</t>
  </si>
  <si>
    <t>n</t>
  </si>
  <si>
    <t>64235586; 64235587</t>
  </si>
  <si>
    <t>Добавить вид объекта</t>
  </si>
  <si>
    <t>Форма 2. Виды объектов, используемых для оказания услуг в области обращения с твердыми коммунальными отходами, и их количество</t>
  </si>
  <si>
    <t>Вид объекта, используемых для оказания услуг в области обращения с твердыми коммунальными отходами</t>
  </si>
  <si>
    <t>Количество объектов, используемых для оказания услуг в области обращения с твердыми коммунальными отходами, шт.</t>
  </si>
  <si>
    <t>Значение количества объектов, используемых для оказания услуг в области обращения с твердыми коммунальными отходами, указывается в виде целых и неотрицательных чисел._x000D_
В случае отсутствия объектов того или иного вида, используемых для оказания услуг в области обращения с твердыми коммунальными отходами, указывается значение «0»._x000D_
В случае оказания услуг по нескольким видам деятельности информация по каждому из них указывается отдельно._x000D_
В случае наличия нескольких видов объектов, используемых для оказания услуг в области обращения с твердыми коммунальными отходами, информация по каждому из них указывается отдельно.</t>
  </si>
  <si>
    <t>Информация об отсутствии сети "Интернет" &lt;1&gt;</t>
  </si>
  <si>
    <t>Отсутствует доступ к сети "Интернет"</t>
  </si>
  <si>
    <t>Ссылка на документ</t>
  </si>
  <si>
    <t>В случае отсутствия доступа к сети "Интернет" на территории выбранного муниципального образования в колонке "Отсутствует доступ к сети "Интернет" указывается "Да"._x000D_
В колонке "Ссылка на документ" указывается материал в виде ссылки на документ, подтверждающий отсутствие сети "Интернет" на территории выбранного муниципального образования, предварительно загруженный в хранилище данных ФГИС ЕИАС._x000D_
В случае отсутствия доступа к сети "Интернет" на территории нескольких муниципальных районов (муниципальных образований) информация по каждому из них указывается в отдельной строке.</t>
  </si>
  <si>
    <t>Омский муниципальный район</t>
  </si>
  <si>
    <t>Ачаирское сельское поселение</t>
  </si>
  <si>
    <t>52644404</t>
  </si>
  <si>
    <t>Ачаирское сельское поселение (52644404)</t>
  </si>
  <si>
    <t>Имя листа</t>
  </si>
  <si>
    <t>Наименование, номер формы</t>
  </si>
  <si>
    <t>HEAT</t>
  </si>
  <si>
    <t>COLDVSNA</t>
  </si>
  <si>
    <t>VOTV</t>
  </si>
  <si>
    <t>HOTVSNA</t>
  </si>
  <si>
    <t>TKO</t>
  </si>
  <si>
    <t>ТП</t>
  </si>
  <si>
    <t>16</t>
  </si>
  <si>
    <t>Форма 16. Информация о наличии (об отсутствии) технической возможности подключения (технологического присоединения) к системе теплоснабжения, а также о принятии и ходе рассмотрения заявок на заключение договора о подключении (технологическом присоединении) к системе теплоснабжения</t>
  </si>
  <si>
    <t>Общая информация об организации</t>
  </si>
  <si>
    <t>Форма 1. Информация о регулируемой организации, единых теплоснабжающих организациях в ценовых зонах теплоснабжения, теплоснабжающих организациях в ценовых зонах теплоснабжения и теплосетевых организациях в ценовых зонах теплоснабжения (общая информация)</t>
  </si>
  <si>
    <t>Форма 1. Информация об организации (общая информация)</t>
  </si>
  <si>
    <t>Договоры</t>
  </si>
  <si>
    <t>Форма 17. Информация об условиях, на которых осуществляется поставка товаров (оказание услуг) в сфере теплоснабжения, цены (тарифы) на которые подлежат регулированию, и (или) условиях договоров о подключении (технологическом присоединении) к системе теплоснабжения содержит сведения об условиях публичных договоров регулируемых организаций, а также сведения о договорах, заключенных в соответствии с частями 2.1 и 2.2 статьи 8 Федерального закона "О теплоснабжении", Информация об условиях, на которых осуществляется поставка товаров (оказание услуг) по ценам, определяемым по соглашению сторон в соответствии с Федеральным законом "О теплоснабжении", и (или) условиях договоров о подключении (технологическом присоединении) к системе теплоснабжения включает сведения об условиях публичных договоров, заключаемых единой теплоснабжающей организацией в ценовых зонах теплоснабжения</t>
  </si>
  <si>
    <t>Форма 10. Информация об условиях, на которых осуществляется оказание регулируемых услуг в области обращения с твердыми коммунальными отходами, а также об условиях договоров на оказание услуг по транспортированию твердых коммунальных отходов</t>
  </si>
  <si>
    <t>Показатели ФХД</t>
  </si>
  <si>
    <t>Форма 8. Информация о товарах (об услугах), поставляемых (оказываемых) единой теплоснабжающей организацией в ценовых зонах теплоснабжения по регулируемым ценам (тарифам) в сфере теплоснабжения, информация о товарах (об услугах), поставляемых (оказываемых) теплоснабжающей организацией в ценовых зонах теплоснабжения и теплосетевой организацией в ценовых зонах теплоснабжения по регулируемым ценам (тарифам) в сфере теплоснабжения</t>
  </si>
  <si>
    <t>Показатели ФХД &gt;20%</t>
  </si>
  <si>
    <t>Форма 11. Информация о расходах на капитальный и текущий ремонт основных средств</t>
  </si>
  <si>
    <t>Форма 6. Информация о расходах на капитальный и текущий ремонт основных средств, расходах на услуги производственного характера, оказываемые по договорам с организациями на проведение ремонтных работ в рамках технологического процесса</t>
  </si>
  <si>
    <t>Показатели КНЭ</t>
  </si>
  <si>
    <t>Форма 12. Информация об основных потребительских характеристиках товаров, услуг регулируемой организации, цены (тарифы) в сфере теплоснабжения на которые подлежат регулированию, об основных потребительских характеристиках товаров (услуг), поставляемых (оказываемых) единой теплоснабжающей организацией в ценовых зонах теплоснабжения, об основных потребительских характеристиках товаров (услуг), поставляемых (оказываемых) теплоснабжающей организацией в ценовых зонах теплоснабжения и теплосетевой организацией в ценовых зонах теплоснабжения</t>
  </si>
  <si>
    <t>Форма 7. Информация об основных потребительских характеристиках регулируемых товаров (услуг), тарифы на которые подлежат регулированию, и их соответствии установленным требованиям</t>
  </si>
  <si>
    <t>PRICE_x000D_
_x000D_
Т-ТЭ | &gt;=25МВт_x000D_
Т-ТЭ | ТСО_x000D_
Резерв мощности</t>
  </si>
  <si>
    <t>Форма 4. Информация об установленных тарифах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 об установленных тарифах на тепловую энергию (мощность), поставляемую теплоснабжающими организациями потребителям, другим теплоснабжающим организациям, об установленной плате за услуги по поддержанию резервной тепловой мощности при отсутствии потребления тепловой энергии  &lt;1&gt;</t>
  </si>
  <si>
    <t>PRICE_x000D_
_x000D_
Т-ТН_x000D_
Т-передача ТЭ_x000D_
Т-передача ТН</t>
  </si>
  <si>
    <t>Форма 5. Информация об установленных тарифах на теплоноситель, поставляемый теплоснабжающими организациями потребителям, другим теплоснабжающим организациям, об установленных тарифах на услуги по передаче тепловой энергии, теплоносителя, о тарифах на теплоноситель в виде воды, поставляемый единой теплоснабжающей организацией в ценовых зонах теплоснабжения потребителям и теплоснабжающими организациями в ценовых зонах 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23.4 Федерального закона "О теплоснабжении" &lt;1&gt;</t>
  </si>
  <si>
    <t>PRICE_x000D_
_x000D_
Т-гор.вода</t>
  </si>
  <si>
    <t>Форма 6. Информация об установленных тарифах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 о тарифах на горячую воду, поставляемую единой теплоснабжающей организацией в ценовых зонах теплоснабжения потребителям с использованием открытых систем теплоснабжения (горячего водоснабжения), установленных в виде формулы двухкомпонентного тарифа с использованием компонента на теплоноситель и компонента на тепловую энергию, в том числе о числовых значениях компонентов указанного тарифа &lt;1&gt;</t>
  </si>
  <si>
    <t>PRICE_x000D_
_x000D_
Т-подкл</t>
  </si>
  <si>
    <t>Форма 7. Информация об установленной плате за подключение (технологическое присоединение) к системе теплоснабжения, о плате за подключение (технологическое присоединение) к системе теплоснабжения, применяемой в случае, установленном частью 9 статьи 23.4 Федерального закона "О теплоснабжении" &lt;1&gt;</t>
  </si>
  <si>
    <t>REQUEST_x000D_
_x000D_
Т-ТЭ | &gt;=25МВт_x000D_
Т-ТЭ | ТСО_x000D_
Резерв мощности</t>
  </si>
  <si>
    <t>Форма 21. Информация о расчетной величине тарифов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 тарифов на тепловую энергию (мощность), поставляемую теплоснабжающими организациями потребителям, другим теплоснабжающим организациям, об установленной плате за услуги по поддержанию резервной тепловой мощности при отсутствии потребления тепловой энергии  &lt;1&gt;</t>
  </si>
  <si>
    <t>REQUEST_x000D_
_x000D_
Т-ТН_x000D_
Т-передача ТЭ_x000D_
Т-передача ТН</t>
  </si>
  <si>
    <t>Форма 22. Информация о расчетной величине тарифов на теплоноситель, поставляемый теплоснабжающими организациями потребителям, другим теплоснабжающим организациям, тарифов на услуги по передаче тепловой энергии, теплоносителя, о расчетной величине тарифов на теплоноситель в виде воды, поставляемый другим теплоснабжающим организациям в ценовых зонах теплоснабжения с использованием открытых систем теплоснабжения (горячего водоснабжения), за исключением случая, предусмотренного пунктом 6 части 1 статьи 23.4 Федерального закона "О теплоснабжении" &lt;1&gt;</t>
  </si>
  <si>
    <t>REQUEST_x000D_
_x000D_
Т-гор.вода</t>
  </si>
  <si>
    <t>Форма 23. Информация о расчетной величине тарифов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 о расчетной величине тарифов на горячую воду, поставляемую единой теплоснабжающей организацией в ценовых зонах теплоснабжения потребителям с использованием открытых систем теплоснабжения (горячего водоснабжения), установленных в виде формулы двухкомпонентного тарифа с использованием компонента на теплоноситель и компонента на тепловую энергию, в том числе о числовых значениях компонентов указанного тарифа</t>
  </si>
  <si>
    <t>REQUEST_x000D_
_x000D_
Т-подкл</t>
  </si>
  <si>
    <t xml:space="preserve">Форма 24. Информация о расчетной величине платы за подключение (технологическое присоединение) к системе теплоснабжения, о расчетной величине платы за подключение (технологическое присоединение) к системе теплоснабжения, применяемой в случае, установленном частью 9 статьи 23.4 Федерального закона "О теплоснабжении" </t>
  </si>
  <si>
    <t>PRICE_x000D_
_x000D_
ХВС. Т-пит_x000D_
ХВС. Т-тех_x000D_
ХВС. Т-транс_x000D_
ХВС. Т-подвоз</t>
  </si>
  <si>
    <t>Форма 4. Информация о тарифах в сфере холодного водоснабжения на товары (услуги) организации холодного водоснабжения, подлежащих регулированию (об установленных тарифах на питьевую воду (питьевое водоснабжение); об установленных тарифах на техническую воду; об установленных тарифах на транспортировку воды; об установленных тарифах на подвоз воды))</t>
  </si>
  <si>
    <t>PRICE_x000D_
_x000D_
ХВС. Т-подкл</t>
  </si>
  <si>
    <t>Форма 5. Информация о величинах тарифов на подключение (технологическое присоединение) к централизованной системе холодного водоснабжения &lt;1&gt;</t>
  </si>
  <si>
    <t>REQUEST_x000D_
_x000D_
ХВС. Т-пит_x000D_
ХВС. Т-тех_x000D_
ХВС. Т-транс_x000D_
ХВС. Т-подвоз</t>
  </si>
  <si>
    <t>Форма 15. Информация о предложении расчетной величины тарифов организации холодного водоснабжения об установлении тарифов в сфере холодного водоснабжения на очередной период регулирования &lt;1&gt;</t>
  </si>
  <si>
    <t>REQUEST_x000D_
_x000D_
ХВС. Т-подкл</t>
  </si>
  <si>
    <t>Форма 16. Информация о предложении организации холодного водоснабжения расчетной величины тарифов на подключение (технологическое присоединение) к централизованной системе холодного водоснабжения &lt;1&gt;</t>
  </si>
  <si>
    <t>PRICE_x000D_
_x000D_
ГВС. Т-гор.вода_x000D_
ГВС. Т-транс</t>
  </si>
  <si>
    <t>Форма 4. Информация о тарифах в сфере горячего водоснабжения на товары (услуги) организации горячего водоснабжения, подлежащих регулированию (об установленных тарифах на горячую воду (горячее водоснабжение); об установленных тарифах на транспортировку горячей воды) &lt;1&gt;</t>
  </si>
  <si>
    <t>PRICE_x000D_
_x000D_
ГВС. Т-подкл</t>
  </si>
  <si>
    <t>Форма 5. Информация об установленных тарифах на подключение (технологическое присоединение) к централизованной системе горячего водоснабжения &lt;1&gt;</t>
  </si>
  <si>
    <t>REQUEST_x000D_
_x000D_
ГВС. Т-гор.вода_x000D_
ГВС. Т-транс</t>
  </si>
  <si>
    <t>Форма 16. Информация о предложении расчетной величины тарифов организации горячего водоснабжения об установлении тарифов в сфере горячего водоснабжения на очередной период регулирования &lt;1&gt;</t>
  </si>
  <si>
    <t>REQUEST_x000D_
_x000D_
ГВС. Т-подкл</t>
  </si>
  <si>
    <t>Форма 17. Информация о предложении расчетной величины тарифов на подключение (технологическое присоединение) к централизованной системе горячего водоснабжения &lt;1&gt;</t>
  </si>
  <si>
    <t>PRICE_x000D_
_x000D_
ВО. Т-во_x000D_
ВО. Т-транс</t>
  </si>
  <si>
    <t>Форма 3. Информация о тарифах в сфере водоотведения на товары (услуги) организации водоотведения, подлежащих регулированию (об установленных тарифах на водоотведение; об установленных тарифах на транспортировку сточных вод) &lt;1&gt;</t>
  </si>
  <si>
    <t>PRICE_x000D_
_x000D_
ВО. Т-подкл</t>
  </si>
  <si>
    <t>Форма 4.  Информация об установленных тарифах на подключение (технологическое присоединение) к централизованной системе водоотведения &lt;1&gt;</t>
  </si>
  <si>
    <t>REQUEST_x000D_
_x000D_
ВО. Т-во_x000D_
ВО. Т-транс</t>
  </si>
  <si>
    <t>Форма 16. Информация о предложении расчетной величины тарифов организации водоотведения об установлении тарифов в сфере водоотведения на очередной период регулирования &lt;1&gt;</t>
  </si>
  <si>
    <t>REQUEST_x000D_
_x000D_
ВО. Т-подкл</t>
  </si>
  <si>
    <t>Форма 17. Информация о предложении расчетной величины тарифов на подключение к централизованной системе водоотведения &lt;1&gt;</t>
  </si>
  <si>
    <t>Сведения о закупках</t>
  </si>
  <si>
    <t>27</t>
  </si>
  <si>
    <t>Форма 19. Информация о способах приобретения, стоимости и об объемах товаров, необходимых регулируемой организации для производства товаров (оказания услуг) в сфере теплоснабжения, цены (тарифы) на которые подлежат регулированию, о способах приобретения, стоимости и об объемах товаров, необходимых для производства товаров и (или) оказания услуг единой теплоснабжающей организацией в ценовых зонах теплоснабжения, о способах приобретения, стоимости и об объемах товаров, необходимых для производства товаров и (или) оказания услуг теплоснабжающей организацией в ценовых зонах теплоснабжения и теплосетевой организацией в ценовых зонах теплоснабжения</t>
  </si>
  <si>
    <t>Форма 11.  Информация о способах приобретения, стоимости и об объемах товаров, работ и услуг, необходимых организации для осуществления регулируемых видов деятельности, содержит сведения о правовых актах, регламентирующих правила закупки (положение о закупке) в организации, о месте их размещения, а также сведения о планировании закупок и результатах их проведения</t>
  </si>
  <si>
    <t>Порядок ТП</t>
  </si>
  <si>
    <t>Форма 18. Информация о порядке выполнения технологических, технических и других мероприятий, связанных с подключением (технологическим присоединением) к системе теплоснабжения &lt;1&gt;</t>
  </si>
  <si>
    <t>19</t>
  </si>
  <si>
    <t>пункт НПА</t>
  </si>
  <si>
    <t>подпункт НПА</t>
  </si>
  <si>
    <t>состав пункта</t>
  </si>
  <si>
    <t>описание парметров</t>
  </si>
  <si>
    <t>номер пункта</t>
  </si>
  <si>
    <t>описание параметров</t>
  </si>
  <si>
    <t>описание к листу Общая информация об организации</t>
  </si>
  <si>
    <t>В случае если регулируемыми организациями, единой теплоснабжающей организацией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 оказываются услуги по теплоснабжению по нескольким технологически не связанным между собой централизованным системам теплоснабжения, и если в отношении указанных систем устанавливаются различные тарифы в сфере теплоснабжения, то информация раскрывается отдельно по каждой централизованной системе теплоснабжения.</t>
  </si>
  <si>
    <t>В случае если регулируемыми организациями оказываются услуги по холодному водоснабжению по нескольким технологически не связанным между собой централизованным системам холодного водоснабжения, и если в отношении указанных систем устанавливаются различные тарифы в сфере холодного водоснабжения, то информация раскрывается отдельно по каждой централизованной системе холодного водоснабжения.</t>
  </si>
  <si>
    <t>В случае если регулируемыми организациями оказываются услуги по горячему водоснабжению по нескольким технологически не связанным между собой централизованным системам горячего водоснабжения, и если в отношении указанных систем устанавливаются различные тарифы в сфере горячего водоснабжения, то информация раскрывается отдельно по каждой централизованной системе горячего водоснабжения.</t>
  </si>
  <si>
    <t>В случае если регулируемыми организациями оказываются услуги по водоотведению по нескольким технологически не связанным между собой централизованным системам водоотведения, и если в отношении указанных систем устанавливаются различные тарифы в сфере водоотведения, то информация раскрывается отдельно по каждой централизованной системе водоотведения.</t>
  </si>
  <si>
    <t>25</t>
  </si>
  <si>
    <t>24</t>
  </si>
  <si>
    <t>45</t>
  </si>
  <si>
    <t>66</t>
  </si>
  <si>
    <t>а</t>
  </si>
  <si>
    <t>Количество поданных заявок</t>
  </si>
  <si>
    <t xml:space="preserve">Количество поданных заявлений </t>
  </si>
  <si>
    <t>Указывается количество поданных заявок на подключение (технологическое присоединение) к системе теплоснабжения в течение отчетного квартала.</t>
  </si>
  <si>
    <t>б</t>
  </si>
  <si>
    <t>Количество рассмотренных заявок</t>
  </si>
  <si>
    <t xml:space="preserve">Количество исполненных заявлений </t>
  </si>
  <si>
    <t>Указывается количество исполненных заявок на подключение (технологическое присоединение) к системе теплоснабжения в течение отчетного квартала.</t>
  </si>
  <si>
    <t>в</t>
  </si>
  <si>
    <t>Количество заявок на заключение договора о подключении (технологическом присоединении) к системе теплоснабжения, по которым регулируемой организацией отказано в заключении договора о подключении (технологическом присоединении) к системе теплоснабжения</t>
  </si>
  <si>
    <t>Количество заявлений о заключении договоров о подключении (технологическом присоединении)</t>
  </si>
  <si>
    <t>Указывается количество заявок с решением об отказе в течение отчетного квартала.</t>
  </si>
  <si>
    <t>Причины отказа в заключении договора о подключении (технологическом присоединении) к системе теплоснабжения</t>
  </si>
  <si>
    <t>Указывается текстовое описание причин принятия решений._x000D_
Не заполняется в случае, если решения об отказе в течение отчетного периода не принимались.</t>
  </si>
  <si>
    <t>г</t>
  </si>
  <si>
    <t>Резерв мощности источников тепловой энергии, входящих в систему теплоснабжения, в течение одного квартала, в том числе:</t>
  </si>
  <si>
    <t xml:space="preserve">Указывается резерв мощности для системы теплоснабжения, тариф для которой не является отличным от тарифов других систем теплоснабжения регулируемой организации._x000D_
При использовании регулируемой организацией нескольких систем теплоснабжения информация о резерве мощности источников тепловой энергии таких систем раскрывается в отношении каждой системы теплоснабжения в отдельных строках. </t>
  </si>
  <si>
    <t>BALANCE</t>
  </si>
  <si>
    <t>Выручка от регулируемого вида деятельности с распределением по видам деятельности</t>
  </si>
  <si>
    <t>Выручка от регулируемых видов деятельности в сфере холодного водоснабжения</t>
  </si>
  <si>
    <t>Выручка от регулируемых видов деятельности в сфере горячего водоснабжения</t>
  </si>
  <si>
    <t>Выручка от регулируемых видов деятельности в сфере водоотведения</t>
  </si>
  <si>
    <t>Указывается выручка от регулируемого вида деятельности с распределением по видам деятельности.</t>
  </si>
  <si>
    <t>Указывается выручка с распределением по видам деятельности.</t>
  </si>
  <si>
    <t>Себестоимость производимых товаров (оказываемых услуг) по регулируемому виду деятельности, включая:</t>
  </si>
  <si>
    <t>Себестоимость производимых товаров (оказываемых услуг) по регулируемым видам деятельности в сфере холодного водоснабжения, включая:</t>
  </si>
  <si>
    <t>Себестоимость производимых товаров (оказываемых услуг) по регулируемым видам деятельности в сфере горячего водоснабжения, включая:</t>
  </si>
  <si>
    <t>Себестоимость производимых товаров (оказываемых услуг) по регулируемым видам деятельности в сфере водоотведения, включая:</t>
  </si>
  <si>
    <t>Указывается суммарная себестоимость производимых товаров.</t>
  </si>
  <si>
    <t>2.1</t>
  </si>
  <si>
    <t>Расходы на приобретаемую тепловую энергию (мощность), теплоноситель</t>
  </si>
  <si>
    <t>Расходы на оплату холодной воды, приобретаемой у других организаций для последующей подачи потребителям</t>
  </si>
  <si>
    <t>Расходы на приобретаемую тепловую энергию (мощность), используемую для горячего водоснабжения</t>
  </si>
  <si>
    <t>Расходы на оплату услуг по приему, транспортировке и очистке сточных вод другими организациями</t>
  </si>
  <si>
    <t>Расходы на топливо с указанием по каждому виду топлива стоимости (за единицу объема), объема и способа его приобретения, стоимости его доставки</t>
  </si>
  <si>
    <t>Указываются суммарные расходы на приобретение топлива всех видов.</t>
  </si>
  <si>
    <t>Расходы на тепловую энергию, производимую с применением собственных источников и используемую для горячего водоснабжения</t>
  </si>
  <si>
    <t>Расходы на приобретаемую холодную воду, используемую для горячего водоснабжения</t>
  </si>
  <si>
    <t>2.4</t>
  </si>
  <si>
    <t>Расходы на холодную воду, получаемую с применением собственных источников водозабора (скважин) и используемую для горячего водоснабжения</t>
  </si>
  <si>
    <t>2.5</t>
  </si>
  <si>
    <t>Расходы на приобретаемую электрическую энергию (мощность), используемую в технологическом процессе</t>
  </si>
  <si>
    <t>6.1</t>
  </si>
  <si>
    <t>2.3.1</t>
  </si>
  <si>
    <t>2.2.1</t>
  </si>
  <si>
    <t>2.5.1</t>
  </si>
  <si>
    <t>Средневзвешенная стоимость 1 кВт.ч (с учетом мощности)</t>
  </si>
  <si>
    <t>6.2</t>
  </si>
  <si>
    <t>2.3.2</t>
  </si>
  <si>
    <t>2.2.2</t>
  </si>
  <si>
    <t>2.5.2</t>
  </si>
  <si>
    <t>Объём приобретения электрической энергии</t>
  </si>
  <si>
    <t>Расходы на приобретение холодной воды, используемой в технологическом процессе</t>
  </si>
  <si>
    <t>Расходы на химические реагенты, используемые в технологическом процессе</t>
  </si>
  <si>
    <t>2.6</t>
  </si>
  <si>
    <t>Расходы на оплату труда и страховые взносы на обязательное социальное страхование, выплачиваемые из фонда оплаты труда основного производственного персонала, в том числе:</t>
  </si>
  <si>
    <t>Указывается общая сумма расходов на оплату труда и отчислений на социальные нужды основного производственного персонала.</t>
  </si>
  <si>
    <t>9.1</t>
  </si>
  <si>
    <t>2.6.1</t>
  </si>
  <si>
    <t>2.4.1</t>
  </si>
  <si>
    <t>Расходы на оплату труда основного производственного персонала</t>
  </si>
  <si>
    <t>9.2</t>
  </si>
  <si>
    <t>2.6.2</t>
  </si>
  <si>
    <t>2.4.2</t>
  </si>
  <si>
    <t>Страховые взносы на обязательное социальное страхование, выплачиваемые из фонда оплаты труда основного производственного персонала</t>
  </si>
  <si>
    <t>2.7</t>
  </si>
  <si>
    <t>Расходы на оплату труда и страховые взносы на обязательное социальное страхование, выплачиваемые из фонда оплаты труда административно-управленческого персонала, в том числе:</t>
  </si>
  <si>
    <t>Расходы на оплату труда и страховые взносы на обязательное социальное страхование, выплачиваемые из фонда оплаты труда административно-управленческого персонала</t>
  </si>
  <si>
    <t>Указывается общая сумма расходов на оплату труда и отчислений на социальные нужды административно-управленческого персонала.</t>
  </si>
  <si>
    <t>10.1</t>
  </si>
  <si>
    <t>2.7.1</t>
  </si>
  <si>
    <t>Расходы на оплату труда административно-управленческого персонала</t>
  </si>
  <si>
    <t>Расходы на оплату труда административно-управленческого персонала, в том числе:</t>
  </si>
  <si>
    <t>10.2</t>
  </si>
  <si>
    <t>2.7.2</t>
  </si>
  <si>
    <t>Страховые взносы на обязательное социальное страхование, выплачиваемые из фонда оплаты труда административно-управленческого персонала</t>
  </si>
  <si>
    <t>2.8</t>
  </si>
  <si>
    <t>Расходы на амортизацию основных средств и нематериальных активов</t>
  </si>
  <si>
    <t>11.1</t>
  </si>
  <si>
    <t>2.8.1</t>
  </si>
  <si>
    <t>Расходы на амортизацию основных средств</t>
  </si>
  <si>
    <t>11.2</t>
  </si>
  <si>
    <t>2.8.2</t>
  </si>
  <si>
    <t>Расходы на амортизацию нематериальных активов</t>
  </si>
  <si>
    <t>2.9</t>
  </si>
  <si>
    <t>Расходы на аренду имущества, используемого для осуществления регулируемого вида деятельности</t>
  </si>
  <si>
    <t>Расходы на аренду имущества, используемого для осуществления регулируемых видов деятельности в сфере холодного водоснабжения</t>
  </si>
  <si>
    <t>Расходы на аренду имущества, используемого для осуществления регулируемых видов деятельности в сфере горячего водоснабжения</t>
  </si>
  <si>
    <t>Расходы на аренду имущества, используемого для осуществления регулируемых видов деятельности в сфере водоотведения</t>
  </si>
  <si>
    <t>2.10</t>
  </si>
  <si>
    <t>Общепроизводственные расходы, в том числе:</t>
  </si>
  <si>
    <t>Указывается общая сумма общепроизводственных расходов.</t>
  </si>
  <si>
    <t>13.1</t>
  </si>
  <si>
    <t>2.10.1</t>
  </si>
  <si>
    <t>Расходы на текущий ремонт</t>
  </si>
  <si>
    <t>Указываются расходы на текущий ремонт, отнесенные к общепроизводственным расходам.</t>
  </si>
  <si>
    <t>13.2</t>
  </si>
  <si>
    <t>2.10.2</t>
  </si>
  <si>
    <t>Расходы на капитальный ремонт</t>
  </si>
  <si>
    <t>Указываются расходы на капитальный ремонт, отнесенные к общепроизводственным расходам.</t>
  </si>
  <si>
    <t>2.11</t>
  </si>
  <si>
    <t>Общехозяйственные расходы, в том числе:</t>
  </si>
  <si>
    <t>Указывается общая сумма общехозяйственных расходов.</t>
  </si>
  <si>
    <t>14.1</t>
  </si>
  <si>
    <t>2.11.1</t>
  </si>
  <si>
    <t>2.9.1</t>
  </si>
  <si>
    <t>Указываются расходы на текущий ремонт, отнесенные к общехозяйственным расходам.</t>
  </si>
  <si>
    <t>14.2</t>
  </si>
  <si>
    <t>2.11.2</t>
  </si>
  <si>
    <t>2.9.2</t>
  </si>
  <si>
    <t>Указываются расходы на капитальный ремонт, отнесенные к общехозяйственным расходам.</t>
  </si>
  <si>
    <t>2.12</t>
  </si>
  <si>
    <t>Расходы на капитальный и текущий ремонт основных средств</t>
  </si>
  <si>
    <t>Указывается информация об объемах товаров и услуг, их стоимости и о способах приобретения у тех организаций, сумма оплаты услуг которых превышает 20 процентов суммы расходов по указанной статье расходов</t>
  </si>
  <si>
    <t>В том числе информацию об объемах товаров и услуг, их стоимости и о способах приобретения у тех организаций, сумма оплаты услуг которых превышает 20 процентов суммы расходов по указанной статье расходов</t>
  </si>
  <si>
    <t>15.1</t>
  </si>
  <si>
    <t>2.12.1</t>
  </si>
  <si>
    <t>Информация об объемах товаров и услуг, их стоимости и способах приобретения у тех организаций, сумма оплаты услуг которых превышает 20 процентов суммы расходов по указанной статье расходов</t>
  </si>
  <si>
    <t>2.13</t>
  </si>
  <si>
    <t xml:space="preserve">Расходы на услуги производственного характера, оказываемые по договорам с организациями на проведение регламентных работ в рамках технологического процесса </t>
  </si>
  <si>
    <t>Расходы на услуги производственного характера, оказываемые по договорам с организациями на проведение регламентных работ в рамках технологического процесса</t>
  </si>
  <si>
    <t>16.1</t>
  </si>
  <si>
    <t>2.13.1</t>
  </si>
  <si>
    <t>2.14</t>
  </si>
  <si>
    <t>Прочие расходы, которые подлежат отнесению на регулируемые виды деятельности в соответствии с законодательством Российской Федерации</t>
  </si>
  <si>
    <t>Прочие расходы, которые подлежат отнесению на регулируемые виды деятельности в сфере холодного водоснабжения в соответствии с Основами ценообразования в сфере водоснабжения и водоотведения, утвержденными постановлением Правительства Российской Федерации от 13 мая 2013 г. N 406 "О государственном регулировании тарифов в сфере водоснабжения и водоотведения" (далее - Основы ценообразования в сфере водоснабжения и водоотведения)</t>
  </si>
  <si>
    <t>Прочие расходы, которые отнесены на регулируемые виды деятельности в сфере горячего водоснабжения, в соответствии с Основами ценообразования в сфере водоснабжения и водоотведения</t>
  </si>
  <si>
    <t>Прочие расходы, которые подлежат отнесению на регулируемые виды деятельности в сфере водоотведения в соответствии с Основами ценообразования в сфере водоснабжения и водоотведения</t>
  </si>
  <si>
    <t>Указывается общая сумма прочих расходов, которые подлежат отнесению на регулируемые виды деятельности в соответствии с законодательством в сфере теплоснабжения.</t>
  </si>
  <si>
    <t>Указывается общая сумма прочих расходов, которые подлежат отнесению на регулируемые виды деятельности в соответствии с основами ценообразования в сфере водоснабжения и водоотведения.</t>
  </si>
  <si>
    <t>д</t>
  </si>
  <si>
    <t>Валовая прибыль (убытки) от реализации товаров и оказания услуг по регулируемому виду деятельности</t>
  </si>
  <si>
    <t>Чистая прибыль, полученная от регулируемого вида деятельности, в том числе:</t>
  </si>
  <si>
    <t>Чистая прибыль, полученная от регулируемого вида деятельности в сфере холодного водоснабжения, в том числе:</t>
  </si>
  <si>
    <t>Чистая прибыль, полученная от регулируемого вида деятельности в сфере горячего водоснабжения, в том числе:</t>
  </si>
  <si>
    <t>Чистая прибыль, полученная от регулируемого вида деятельности в сфере водоотведения, в том числе:</t>
  </si>
  <si>
    <t>Указывается общая сумма чистой прибыли, полученной от регулируемого вида деятельности.</t>
  </si>
  <si>
    <t>4.1</t>
  </si>
  <si>
    <t>Размер расходования чистой прибыли на финансирование мероприятий, предусмотренных инвестиционной программой регулируемой организации</t>
  </si>
  <si>
    <t>Изменение стоимости основных фондов, в том числе:</t>
  </si>
  <si>
    <t>Указывается общее изменение стоимости основных фондов.</t>
  </si>
  <si>
    <t>Изменение стоимости основных фондов за счет:</t>
  </si>
  <si>
    <t>Изменение стоимости основных фондов за счет их ввода в эксплуатацию (вывода из эксплуатации)</t>
  </si>
  <si>
    <t>Указываются общее изменение стоимости основных фондов за счет их ввода в эксплуатацию и вывода из эксплуатации.</t>
  </si>
  <si>
    <t>1.1</t>
  </si>
  <si>
    <t>5.1.1</t>
  </si>
  <si>
    <t>4.1.1</t>
  </si>
  <si>
    <t>Изменения стоимости основных фондов за счет их ввода в эксплуатацию</t>
  </si>
  <si>
    <t>Изменение стоимости основных фондов за счет их ввода в эксплуатацию</t>
  </si>
  <si>
    <t>Указываются изменение стоимости основных фондов за счет их ввода в эксплуатацию.</t>
  </si>
  <si>
    <t>1.2</t>
  </si>
  <si>
    <t>5.1.2</t>
  </si>
  <si>
    <t>4.1.2</t>
  </si>
  <si>
    <t>Изменения стоимости основных фондов за счет их вывода в эксплуатацию</t>
  </si>
  <si>
    <t>Изменение стоимости основных фондов за счет их вывода в эксплуатацию</t>
  </si>
  <si>
    <t>Указываются изменение стоимости основных фондов за счет их вывода из эксплуатации.</t>
  </si>
  <si>
    <t>4.2</t>
  </si>
  <si>
    <t>Изменение стоимости основных фондов за счет их переоценки</t>
  </si>
  <si>
    <t>Валовая прибыль (убытки) от продажи товаров и услуг по регулируемым видам деятельности в сфере холодного водоснабжения</t>
  </si>
  <si>
    <t>Валовая прибыль (убытки) от продажи товаров и услуг по регулируемым видам деятельности в сфере горячего водоснабжения</t>
  </si>
  <si>
    <t>Валовая прибыль (убытки) от продажи товаров и услуг по регулируемым видам деятельности в сфере водоотведения</t>
  </si>
  <si>
    <t>е</t>
  </si>
  <si>
    <t>Годовая бухгалтерская (финансовая) отчетность, включая бухгалтерский баланс и приложения к нему</t>
  </si>
  <si>
    <t>Указывается ссылка на документ, предварительно загруженный в хранилище файлов ФГИС ЕИАС._x000D_
Регулируемыми организациями информация раскрывается в случае, если выручка от регулируемых видов деятельности превышает 80 процентов совокупной выручки за отчетный год.</t>
  </si>
  <si>
    <t>Указывается ссылка на документ, предварительно загруженный в хранилище файлов ФГИС ЕИАС._x000D_
Раскрывается регулируемой организацией, выручка от регулируемых видов деятельности в сфере водоснабжения и (или) водоотведения которой превышает 80 процентов совокупной выручки за отчетный год.</t>
  </si>
  <si>
    <t>Указывается ссылка на документ, предварительно загруженный в хранилище файлов ФГИС ЕИАС._x000D_
Раскрывается регулируемой организацией, выручка от регулируемых видов деятельности в сфере водоотведения и (или) водоотведения которой превышает 80 процентов совокупной выручки за отчетный год.</t>
  </si>
  <si>
    <t>ж</t>
  </si>
  <si>
    <t>Объём поднятой воды</t>
  </si>
  <si>
    <t>з</t>
  </si>
  <si>
    <t>Объём покупной воды</t>
  </si>
  <si>
    <t>и</t>
  </si>
  <si>
    <t>Объём воды, пропущенной через очистные сооружения</t>
  </si>
  <si>
    <t>к</t>
  </si>
  <si>
    <t>Объём отпущенной потребителям воды, в том числе:</t>
  </si>
  <si>
    <t>Указывается общий объем отпущенной потребителям воды.</t>
  </si>
  <si>
    <t>Объём отпущенной потребителям воды, определенный по приборам учета</t>
  </si>
  <si>
    <t>Объём отпущенной потребителям воды, определенный расчетным способом</t>
  </si>
  <si>
    <t>10.2.1</t>
  </si>
  <si>
    <t>Объём отпущенной потребителям воды, определенный по нормативам потребления коммунальных услуг</t>
  </si>
  <si>
    <t>10.2.2</t>
  </si>
  <si>
    <t xml:space="preserve">Объём отпущенной потребителям воды, определенный по нормативам потребления коммунальных ресурсов </t>
  </si>
  <si>
    <t>л</t>
  </si>
  <si>
    <t>Потери воды в сетях</t>
  </si>
  <si>
    <t>Объём приобретаемой холодной воды, используемой для горячего водоснабжения</t>
  </si>
  <si>
    <t>Объём холодной воды, получаемой с применением собственных источников водозабора (скважин) и используемой для горячего водоснабжения</t>
  </si>
  <si>
    <t>Объём приобретаемой тепловой энергии (мощности), используемой для горячего водоснабжения</t>
  </si>
  <si>
    <t>Объём тепловой энергии, производимой с применением собственных источников и используемой для горячего водоснабжения</t>
  </si>
  <si>
    <t>Потери горячей воды в сетях (процентов)</t>
  </si>
  <si>
    <t>Объём сточных вод, принятых от потребителей</t>
  </si>
  <si>
    <t>Объём сточных вод, принятых от других регулируемых организаций, осуществляющих водоотведение и (или) очистку сточных вод</t>
  </si>
  <si>
    <t>Объём сточных вод, пропущенных через очистные сооружения</t>
  </si>
  <si>
    <t>Установленная тепловая мощность объектов основных фондов, используемых для теплоснабжения, в том числе по каждому источнику тепловой энергии</t>
  </si>
  <si>
    <t>Указывается суммарная установленная тепловая мощность объектов основных фондов, используемых для осуществления теплоснабжения._x000D_
Регулируемыми организациями указывается информация по объектам, используемым для осуществления регулируемых видов деятельности.</t>
  </si>
  <si>
    <t>Тепловая нагрузка по договорам, заключенным в рамках осуществления регулируемых видов деятельности</t>
  </si>
  <si>
    <t>Регулируемыми организациями указывается информация по договорам, заключенным в рамках осуществления регулируемых видов деятельности</t>
  </si>
  <si>
    <t>Объем вырабатываемой регулируемой организацией тепловой энергии в рамках осуществления регулируемых видов деятельности</t>
  </si>
  <si>
    <t>Регулируемыми организациями указывается информация тепловой энергии, выработанной в рамках осуществления регулируемых видов деятельности.</t>
  </si>
  <si>
    <t>Объем приобретаемой регулируемой организацией тепловой энергии в рамках осуществления регулируемых видов деятельности</t>
  </si>
  <si>
    <t>Информация указывается только едиными теплоснабжающими организациями.</t>
  </si>
  <si>
    <t>Объем тепловой энергии, отпускаемой потребителям по договорам, заключенным в рамках осуществления регулируемых видов деятельности, определенном в том числе</t>
  </si>
  <si>
    <t>Указывается общий объем тепловой энергии, отпускаемой потребителям._x000D_
Регулируемыми организациями указывается информация, включая отдельно сведения об определенном по приборам учета объеме тепловой энергии, отпускаемой потребителям по договорам, максимальный объем потребления тепловой энергии объектов которых составляет менее чем 0,2 Гкал/ч</t>
  </si>
  <si>
    <t xml:space="preserve">По приборам учёта </t>
  </si>
  <si>
    <t>10.1.1</t>
  </si>
  <si>
    <t>Определенный по приборам учета объем тепловой энергии, отпускаемой по договорам потребителям, максимальный объем потребления тепловой энергии объектов которых составляет менее чем 0,2 Гкал</t>
  </si>
  <si>
    <t>Расчётным путём</t>
  </si>
  <si>
    <t>10.3</t>
  </si>
  <si>
    <t>По нормативам потребления коммунальных услуг и нормативам потребления коммунальных ресурсов</t>
  </si>
  <si>
    <t>м</t>
  </si>
  <si>
    <t>Нормативы технологических потерь при передаче тепловой энергии, теплоносителя по тепловым сетям, утвержденные уполномоченным органом</t>
  </si>
  <si>
    <t>н</t>
  </si>
  <si>
    <t>Фактический объем потерь при передаче тепловой энергии</t>
  </si>
  <si>
    <t>о</t>
  </si>
  <si>
    <t>Среднесписочная численность основного производственного персонала</t>
  </si>
  <si>
    <t>п</t>
  </si>
  <si>
    <t>Среднесписочная численность административно-управленческого персонала</t>
  </si>
  <si>
    <t>Удельный расход электрической энергии на подачу воды в сеть</t>
  </si>
  <si>
    <t>Расход воды на собственные нужды, в том числе:</t>
  </si>
  <si>
    <t>Указывается доля общего расхода воды на собственные нужны от объема отпуска воды потребителям.</t>
  </si>
  <si>
    <t>Расход воды на хозяйственно-бытовые нужды</t>
  </si>
  <si>
    <t>Указывается доля расхода воды на хозяйственно-бытовые нужны от объема отпуска воды потребителям.</t>
  </si>
  <si>
    <t>15</t>
  </si>
  <si>
    <t>Показатель использования производственных объектов (по объему перекачки), в том числе:</t>
  </si>
  <si>
    <t>Указывается суммарный показатель использования по всем производственным объектам как процент объема перекачки по отношению к пиковому дню отчетного года.</t>
  </si>
  <si>
    <t>р</t>
  </si>
  <si>
    <t>Норматив удельного расхода условного топлива при производстве тепловой энергии источниками тепловой энергии, используемыми для осуществления регулируемых видов деятельности, в целом по регулируемой организации или с распределением по источникам тепловой энергии (в зависимости от показателя (показателей), утвержденного уполномоченным органом)</t>
  </si>
  <si>
    <t>с</t>
  </si>
  <si>
    <t>Фактический удельный расход условного топлива при производстве тепловой энергии источниками тепловой энергии, используемыми для осуществления регулируемых видов деятельности, в целом по регулируемой организации или с распределением по источникам тепловой энергии (в зависимости от показателя (показателей), утвержденного уполномоченным органом)</t>
  </si>
  <si>
    <t>Регулируемыми организациями указывается информация с распределением по источникам тепловой энергии, используемым для осуществления регулируемых видов деятельности.</t>
  </si>
  <si>
    <t>т</t>
  </si>
  <si>
    <t>17</t>
  </si>
  <si>
    <t>Удельный расход электрической энергии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t>
  </si>
  <si>
    <t>Регулируемыми организациями указывается информация с по договорам, заключенным в рамках осуществления регулируемой деятельности.</t>
  </si>
  <si>
    <t>у</t>
  </si>
  <si>
    <t>18</t>
  </si>
  <si>
    <t>Удельный расход холодной воды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t>
  </si>
  <si>
    <t>ф</t>
  </si>
  <si>
    <t>Информация о показателях технико-экономического состояния систем теплоснабжения (за исключением теплопотребляющих установок потребителей тепловой энергии, теплоносителя, а также источников тепловой энергии, функционирующих в режиме комбинированной выработки электрической и тепловой энергии), в т.ч.:</t>
  </si>
  <si>
    <t>Указывается ссылка на документ, предварительно загруженный в хранилище файлов ФГИС ЕИАС.</t>
  </si>
  <si>
    <t>19.1</t>
  </si>
  <si>
    <t>Информация о показателях физического износа объектов теплоснабжения</t>
  </si>
  <si>
    <t>19.2</t>
  </si>
  <si>
    <t>Информация о показателях энергетической эффективности объектов теплоснабжения</t>
  </si>
  <si>
    <t>TERMS</t>
  </si>
  <si>
    <t>27/44</t>
  </si>
  <si>
    <t>26</t>
  </si>
  <si>
    <t>47</t>
  </si>
  <si>
    <t>68</t>
  </si>
  <si>
    <t>Сведения об условиях публичных договоров регулируемых организаций,  сведения об условиях публичных договоров, заключаемых единой теплоснабжающей организацией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 в том числе</t>
  </si>
  <si>
    <t>Сведения об условиях публичных договоров на оказание регулируемых услуг в области обращения с твердыми коммунальными отходами</t>
  </si>
  <si>
    <t>INVEST</t>
  </si>
  <si>
    <t>REQUEST</t>
  </si>
  <si>
    <t>PRICE</t>
  </si>
  <si>
    <t>REGION</t>
  </si>
  <si>
    <t>year_list1</t>
  </si>
  <si>
    <t>year_list</t>
  </si>
  <si>
    <t>logical</t>
  </si>
  <si>
    <t>Месяц_x000D_
(MONTH)</t>
  </si>
  <si>
    <t>Квартал_x000D_
(QUARTER)</t>
  </si>
  <si>
    <t>Месяц_x000D_
(kind_of_publication)</t>
  </si>
  <si>
    <t>НДС_x000D_
/kind_of_NDS/</t>
  </si>
  <si>
    <t>Номер СЦХВ(СЦВО)_x000D_
/SKI_number/</t>
  </si>
  <si>
    <t>Единица измерения объема оказываемых услуг ГВС_x000D_
/kind_of_unit_GVS/</t>
  </si>
  <si>
    <t>Метод регулирования_x000D_
/kind_of_control_method/</t>
  </si>
  <si>
    <t>Вид деятельности, на которую установлен тариф /kind_of_activity_WARM/</t>
  </si>
  <si>
    <t>Вид теплоносителя_x000D_
(kind_of_heat_transfer)</t>
  </si>
  <si>
    <t>Тип данных_x000D_
(kind_of_data_type)</t>
  </si>
  <si>
    <t>Схема подключения_x000D_
(kind_of_scheme_in)_x000D_
(kind_of_scheme_in2)</t>
  </si>
  <si>
    <t>Группы потребителей_x000D_
(kind_of_cons)</t>
  </si>
  <si>
    <t>Тип прокладки тепловых сетей_x000D_
(kind_of_nets)</t>
  </si>
  <si>
    <t>Диапазаны диаметров тепловых сетей_x000D_
(kind_of_diameters)</t>
  </si>
  <si>
    <t>Подключаемая тепловая нагрузка_x000D_
(kind_of_load)</t>
  </si>
  <si>
    <t>Форма 2, таблица Х</t>
  </si>
  <si>
    <t>виды тарифа_x000D_
/kind_group_rates/</t>
  </si>
  <si>
    <t>Заголовок таблицы</t>
  </si>
  <si>
    <t>name_rates_4</t>
  </si>
  <si>
    <t>name_rates_8</t>
  </si>
  <si>
    <t>Подключаемая тепловая нагрузка_x000D_
(kind_of_load3)</t>
  </si>
  <si>
    <t>Вид теплоносителя_x000D_
(kind_of_heat_transfer2)</t>
  </si>
  <si>
    <t>Вид теплоносителя_x000D_
(kind_of_heat_transfer3)</t>
  </si>
  <si>
    <t>Вид топлива_x000D_
(kind_of_fuel)</t>
  </si>
  <si>
    <t>Способ закупки товаров_x000D_
(kind_of_zak)</t>
  </si>
  <si>
    <t>виды тарифа_x000D_
/kind_group_rates_load/</t>
  </si>
  <si>
    <t>виды тарифа_x000D_
/kind_group_rates_load_filter/</t>
  </si>
  <si>
    <t>виды признаков дифференциации_x000D_
/kind_of_diff/</t>
  </si>
  <si>
    <t>Диапазаны диаметров водопроводных сетей_x000D_
(kind_of_diameters2)</t>
  </si>
  <si>
    <t>List_H</t>
  </si>
  <si>
    <t>List_M</t>
  </si>
  <si>
    <t>kind_of_org_type</t>
  </si>
  <si>
    <t>Виды топлива_x000D_
/kind_of_fuels/</t>
  </si>
  <si>
    <t>YEAR_IP_LIST</t>
  </si>
  <si>
    <t>MONTH_IP_LIST</t>
  </si>
  <si>
    <t>COLDVSNA/HOTVSNA</t>
  </si>
  <si>
    <t>OTKO</t>
  </si>
  <si>
    <t>Алтайский край</t>
  </si>
  <si>
    <t>январь</t>
  </si>
  <si>
    <t>I квартал</t>
  </si>
  <si>
    <t>На официальном сайте организации</t>
  </si>
  <si>
    <t>тыс.куб.м/сутки</t>
  </si>
  <si>
    <t>метод экономически обоснованных расходов (затрат)</t>
  </si>
  <si>
    <t>Передача+Сбыт</t>
  </si>
  <si>
    <t>вода</t>
  </si>
  <si>
    <t>без дифференциации</t>
  </si>
  <si>
    <t>организации-перепродавцы</t>
  </si>
  <si>
    <t>надземная (наземная)</t>
  </si>
  <si>
    <t>50 - 250 мм</t>
  </si>
  <si>
    <t>не превышает 0,1 Гкал/ч</t>
  </si>
  <si>
    <t>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 в соответствии с установленными федеральным органом исполнительной власти в области государственного регулирования тарифов в сфере теплоснабжения предельными (минимальным и (или) максимальным) уровнями указанных тарифов</t>
  </si>
  <si>
    <t>Форма 4.2.1 Информация о величинах тарифов на тепловую энергию, поддержанию резервной тепловой мощности</t>
  </si>
  <si>
    <t>Тариф на теплоноситель, поставляемый потребителям</t>
  </si>
  <si>
    <t>Плата за услуги по поддержанию резервной тепловой мощности при отсутствии потребления тепловой энергии для отдельных категорий (групп) социально значимых потребителей</t>
  </si>
  <si>
    <t>Вода</t>
  </si>
  <si>
    <t>Газ природный по регулируемой цене</t>
  </si>
  <si>
    <t>Конкурс</t>
  </si>
  <si>
    <t>объемы потребления воды абонентами</t>
  </si>
  <si>
    <t>40 мм и менее</t>
  </si>
  <si>
    <t>00</t>
  </si>
  <si>
    <t>Регулируемая организация</t>
  </si>
  <si>
    <t>газ природный по регулируемой цене</t>
  </si>
  <si>
    <t>тыс м3</t>
  </si>
  <si>
    <t>Январь</t>
  </si>
  <si>
    <t>Амурская область</t>
  </si>
  <si>
    <t>февраль</t>
  </si>
  <si>
    <t>II квартал</t>
  </si>
  <si>
    <t>На сайте регулирующего органа</t>
  </si>
  <si>
    <t>УСН</t>
  </si>
  <si>
    <t>Гкал/ч</t>
  </si>
  <si>
    <t>метод индексации установленных тарифов</t>
  </si>
  <si>
    <t>Передача</t>
  </si>
  <si>
    <t>пар</t>
  </si>
  <si>
    <t>изменения в раскрытой ранее информации</t>
  </si>
  <si>
    <t>к коллектору источника тепловой энергии</t>
  </si>
  <si>
    <t>бюджетные организации</t>
  </si>
  <si>
    <t>подземная (канальная)</t>
  </si>
  <si>
    <t>251 - 400 мм</t>
  </si>
  <si>
    <t>более 0,1 Гкал/ч и не превышает 1,5 Гкал/ч</t>
  </si>
  <si>
    <t>Тарифы на тепловую энергию (мощность), поставляемую другим теплоснабжающим организациям теплоснабжающими организациями</t>
  </si>
  <si>
    <t>Тариф на теплоноситель, поставляемый теплоснабжающей организацией, владеющей источником (источниками) тепловой энергии, на котором производится теплоноситель</t>
  </si>
  <si>
    <t>Плата за услуги по поддержанию резервной тепловой мощности, оказываемые регулируемой организацией, мощность источников тепловой энергии которой используется для поддержания резервной мощности в соответствии со схемой теплоснабжения</t>
  </si>
  <si>
    <t>Отборный пар, 1,2-2,5 кг/см2</t>
  </si>
  <si>
    <t>Пар</t>
  </si>
  <si>
    <t>Газ природный по нерегулируемой цене</t>
  </si>
  <si>
    <t>Аукцион</t>
  </si>
  <si>
    <t>Тарифы на тепловую энергию (мощность), поставляемую потребителям теплоснабжающими организациями в соответствии с установленными предельными (минимальными и (или) максимальными) уровнями указанных тарифов</t>
  </si>
  <si>
    <t>соответствие качества питьевой воды и горячей воды требованиям, установленным санитарными нормами и правилами</t>
  </si>
  <si>
    <t>от 41 мм до 70 мм включительно</t>
  </si>
  <si>
    <t>01</t>
  </si>
  <si>
    <t>Единая теплоснабжающая организация</t>
  </si>
  <si>
    <t>газ природный по нерегулируемой цене</t>
  </si>
  <si>
    <t>Февраль</t>
  </si>
  <si>
    <t>HEAT_FIN_SRC_LIST</t>
  </si>
  <si>
    <t>VSNA_FIN_SRC_LIST</t>
  </si>
  <si>
    <t>VOTV_FIN_SRC_LIST</t>
  </si>
  <si>
    <t>OTKO_FIN_SRC_LIST</t>
  </si>
  <si>
    <t>HEAT_PT_TARIFF_NAME_LIST</t>
  </si>
  <si>
    <t>COLDVSNA_PT_TARIFF_NAME_LIST</t>
  </si>
  <si>
    <t>HOTVSNA_PT_TARIFF_NAME_LIST</t>
  </si>
  <si>
    <t>VOTV_PT_TARIFF_NAME_LIST</t>
  </si>
  <si>
    <t>Архангельская область</t>
  </si>
  <si>
    <t>март</t>
  </si>
  <si>
    <t>III квартал</t>
  </si>
  <si>
    <t>ЕСХН</t>
  </si>
  <si>
    <t>куб.м/ч</t>
  </si>
  <si>
    <t>метод обеспечения доходности инвестированного капитала</t>
  </si>
  <si>
    <t>производство комбинированная выработка</t>
  </si>
  <si>
    <t>отборный пар, 1.2-2.5 кг/см2</t>
  </si>
  <si>
    <t>к тепловой сети без дополнительного преобразования на тепловых пунктах, эксплуатируемых теплоснабжающей организацией</t>
  </si>
  <si>
    <t>население и приравненные категории</t>
  </si>
  <si>
    <t>подземная (бесканальная)</t>
  </si>
  <si>
    <t>401 - 550 мм</t>
  </si>
  <si>
    <t>превышает 1,5 Гкал/ч при наличии технической возможности подключения</t>
  </si>
  <si>
    <t>Предельный уровнь цены на тепловую энергию (мощность), поставляемую теплоснабжающими организациями потребителям</t>
  </si>
  <si>
    <t>Плата за услуги по поддержанию резервной тепловой мощности, оказываемые регулируемой организацией, мощность тепловых сетей которой используется для поддержания резервной мощности в соответствии со схемой теплоснабжения</t>
  </si>
  <si>
    <t>Отборный пар, 2,5-7 кг/см2</t>
  </si>
  <si>
    <t>Уголь</t>
  </si>
  <si>
    <t>Аукцион в электронной форме</t>
  </si>
  <si>
    <t>иное</t>
  </si>
  <si>
    <t>от 71 мм до 100 мм включительно</t>
  </si>
  <si>
    <t>02</t>
  </si>
  <si>
    <t>Теплоснабжающая организация в ценовой зоне теплоснабжения</t>
  </si>
  <si>
    <t>газ сжиженный</t>
  </si>
  <si>
    <t>кг</t>
  </si>
  <si>
    <t>Март</t>
  </si>
  <si>
    <t>[ Собственные средства ]</t>
  </si>
  <si>
    <t>HEAT_PT_TARIFF_ID</t>
  </si>
  <si>
    <t>HEAT_PT_TARIFF_NAME</t>
  </si>
  <si>
    <t>COLDVSNA_PT_TARIFF_ID</t>
  </si>
  <si>
    <t>COLDVSNA_PT_TARIFF_NAME</t>
  </si>
  <si>
    <t>HOTVSNA_PT_TARIFF_ID</t>
  </si>
  <si>
    <t>HOTVSNA_PT_TARIFF_NAME</t>
  </si>
  <si>
    <t>VOTV_PT_TARIFF_ID</t>
  </si>
  <si>
    <t>VOTV_PT_TARIFF_NAME</t>
  </si>
  <si>
    <t>апрель</t>
  </si>
  <si>
    <t>IV квартал</t>
  </si>
  <si>
    <t>ПСН</t>
  </si>
  <si>
    <t>метод сравнения аналогов</t>
  </si>
  <si>
    <t>производство (некомбинированная выработка)+передача+сбыт</t>
  </si>
  <si>
    <t>отборный пар, 2.5-7 кг/см2</t>
  </si>
  <si>
    <t>к тепловой сети после тепловых пунктов (на тепловых пунктах), эксплуатируемых теплоснабжающей организацией</t>
  </si>
  <si>
    <t>прочие</t>
  </si>
  <si>
    <t>551 - 700 мм</t>
  </si>
  <si>
    <t>превышает 1,5 Гкал/ч при отсутствии технической возможности подключения</t>
  </si>
  <si>
    <t>Форма 4.2.2 Информация о величинах тарифов на теплоноситель, передачу тепловой энергии, теплоносителя</t>
  </si>
  <si>
    <t>не известна</t>
  </si>
  <si>
    <t>Отборный пар, 7-13 кг/см2</t>
  </si>
  <si>
    <t>Мазут</t>
  </si>
  <si>
    <t>Запрос котировок</t>
  </si>
  <si>
    <t>от 101 мм до 150 мм включительно</t>
  </si>
  <si>
    <t>03</t>
  </si>
  <si>
    <t>Теплосетевая организация в ценовой зоне теплоснабжения</t>
  </si>
  <si>
    <t>газовый конденсат</t>
  </si>
  <si>
    <t>тонны</t>
  </si>
  <si>
    <t>Апрель</t>
  </si>
  <si>
    <t xml:space="preserve">  Прибыль направляемая на инвестиции</t>
  </si>
  <si>
    <t xml:space="preserve">  Нормативная прибыль</t>
  </si>
  <si>
    <t>Тариф на горячую воду в закрытой системе горячего водоснабжения (горячее водоснабжение)</t>
  </si>
  <si>
    <t>Тариф на подключение (технологическое присоединение) к централизованной системе водоотведения в индивидуальном порядке</t>
  </si>
  <si>
    <t>Белгородская область</t>
  </si>
  <si>
    <t>май</t>
  </si>
  <si>
    <t>НПД</t>
  </si>
  <si>
    <t>Вид тарифа на передачу тепловой энергии /kind_of_tariff_unit/</t>
  </si>
  <si>
    <t>производство (некомбинированная выработка)+передача</t>
  </si>
  <si>
    <t>отборный пар, 7-13 кг/см2</t>
  </si>
  <si>
    <t>701 мм и выше</t>
  </si>
  <si>
    <t>Форма 4.2.3 Информация о величинах тарифов на горячую воду (в открытых системах)</t>
  </si>
  <si>
    <t>Отборный пар, &gt; 13 кг/см2</t>
  </si>
  <si>
    <t>Дизельное топливо</t>
  </si>
  <si>
    <t>Единственный поставщик</t>
  </si>
  <si>
    <t>от 151 мм до 200 мм включительно</t>
  </si>
  <si>
    <t>04</t>
  </si>
  <si>
    <t>гшз</t>
  </si>
  <si>
    <t>Май</t>
  </si>
  <si>
    <t xml:space="preserve">  [ Амортизационные отчисления ]</t>
  </si>
  <si>
    <t xml:space="preserve">  Капитальные вложения (инвестиции), финансируемые за счет нормативной прибыли, учитываемой в необходимой валовой выручке</t>
  </si>
  <si>
    <t xml:space="preserve">  Амортизационные отчисления</t>
  </si>
  <si>
    <t>Тариф на подключение к централизованной системе водоотведения</t>
  </si>
  <si>
    <t>Брянская область</t>
  </si>
  <si>
    <t>июнь</t>
  </si>
  <si>
    <t>смешанное налогообложение</t>
  </si>
  <si>
    <t>руб./Гкал/ч/мес</t>
  </si>
  <si>
    <t>производство (некомбинированная выработка)+сбыт</t>
  </si>
  <si>
    <t>отборный пар, &gt; 13 кг/см2</t>
  </si>
  <si>
    <t>Острый и редуцированный пар</t>
  </si>
  <si>
    <t>Дрова</t>
  </si>
  <si>
    <t>Иное</t>
  </si>
  <si>
    <t>от 201 мм до 250 мм включительно</t>
  </si>
  <si>
    <t>05</t>
  </si>
  <si>
    <t>QRE_METHOD_LIST</t>
  </si>
  <si>
    <t>мазут</t>
  </si>
  <si>
    <t>Июнь</t>
  </si>
  <si>
    <t xml:space="preserve">      Амортизационные отчисления с выделением результатов переоценки основных средств и нематериальных активов</t>
  </si>
  <si>
    <t>[ Привлеченные средства ]</t>
  </si>
  <si>
    <t>Тариф на подключение к централизованной системе горячего водоснабжения</t>
  </si>
  <si>
    <t>Владимирская область</t>
  </si>
  <si>
    <t>июль</t>
  </si>
  <si>
    <t>руб./Гкал</t>
  </si>
  <si>
    <t>производство (некомбинированная выработка)</t>
  </si>
  <si>
    <t>острый и редуцированный пар</t>
  </si>
  <si>
    <t>Электроэнергия</t>
  </si>
  <si>
    <t>от 250  мм и более</t>
  </si>
  <si>
    <t>06</t>
  </si>
  <si>
    <t>по мероприятиям</t>
  </si>
  <si>
    <t>нефть</t>
  </si>
  <si>
    <t>Июль</t>
  </si>
  <si>
    <t xml:space="preserve">      Прочие амортизационные отчисления</t>
  </si>
  <si>
    <t xml:space="preserve">     Амортизационные отчисления за исключением переоценки основных средств и нематериальных активов</t>
  </si>
  <si>
    <t xml:space="preserve">  Кредиты</t>
  </si>
  <si>
    <t>Тариф на подключение (технологическое присоединение) к централизованной системе холодного водоснабжения в индивидуальном порядке</t>
  </si>
  <si>
    <t>Тариф на подключение к централизованной системе горячего водоснабжения (инд)</t>
  </si>
  <si>
    <t>Волгоградская область</t>
  </si>
  <si>
    <t>август</t>
  </si>
  <si>
    <t>НДС общий_x000D_
/kind_of_NDS_tariff/</t>
  </si>
  <si>
    <t>НДС_x000D_
/kind_of_NDS_tariff/</t>
  </si>
  <si>
    <t>горячая вода в системе централизованного теплоснабжения на отопление</t>
  </si>
  <si>
    <t>Прочее</t>
  </si>
  <si>
    <t>Плата за подключение к системе теплоснабжения</t>
  </si>
  <si>
    <t>07</t>
  </si>
  <si>
    <t>по группам мероприятий</t>
  </si>
  <si>
    <t>дизельное топливо</t>
  </si>
  <si>
    <t>Август</t>
  </si>
  <si>
    <t xml:space="preserve">  Прочие собственные средства</t>
  </si>
  <si>
    <t xml:space="preserve">     Амортизационные отчисления в результате переоценки основных средств и нематериальных активов</t>
  </si>
  <si>
    <t xml:space="preserve">  [ Займы ]</t>
  </si>
  <si>
    <t>Вологодская область</t>
  </si>
  <si>
    <t>сентябрь</t>
  </si>
  <si>
    <t>тариф указан с НДС для плательщиков НДС</t>
  </si>
  <si>
    <t>тариф для организаций не являющихся плательщиками НДС</t>
  </si>
  <si>
    <t>Установленная электрическая мощность. Теплоэлектростанции. Ед.измерения  /kind_of_power_te_unit/</t>
  </si>
  <si>
    <t>цель инвестиционной программы /kind_of_purchase_method/</t>
  </si>
  <si>
    <t>горячая вода в системе централизованного теплоснабжения на горячее водоснабжение</t>
  </si>
  <si>
    <t>Плата за подключение к системе теплоснабжения (индивидуальная)</t>
  </si>
  <si>
    <t>Форма 4.2.5 Информация о плате за подключение к системе теплоснабжения в индивидуальном порядке</t>
  </si>
  <si>
    <t>08</t>
  </si>
  <si>
    <t>в целом на инвестиционную программу</t>
  </si>
  <si>
    <t>уголь бурый</t>
  </si>
  <si>
    <t>Сентябрь</t>
  </si>
  <si>
    <t xml:space="preserve">  За счет платы за технологическое присоединение</t>
  </si>
  <si>
    <t xml:space="preserve">     Прочие амортизационные отчисления</t>
  </si>
  <si>
    <t xml:space="preserve">      Займы, предоставленные Фондом ЖКХ за счет средств ФНБ</t>
  </si>
  <si>
    <t>Воронежская область</t>
  </si>
  <si>
    <t>октябрь</t>
  </si>
  <si>
    <t>тариф указан без НДС для плательщиков НДС</t>
  </si>
  <si>
    <t>тариф не утверждался</t>
  </si>
  <si>
    <t>кВт*ч</t>
  </si>
  <si>
    <t>Торги/аукционы</t>
  </si>
  <si>
    <t>прочее</t>
  </si>
  <si>
    <t>Форма 4.2.4 Информация о величинах тарифов на подключение к системе теплоснабжения</t>
  </si>
  <si>
    <t>09</t>
  </si>
  <si>
    <t>по муниципальным образованиям/территориям</t>
  </si>
  <si>
    <t>уголь каменный</t>
  </si>
  <si>
    <t>Октябрь</t>
  </si>
  <si>
    <t xml:space="preserve">  [ Экономия расходов ]</t>
  </si>
  <si>
    <t xml:space="preserve">      Прочие займы</t>
  </si>
  <si>
    <t>г.Байконур</t>
  </si>
  <si>
    <t>ноябрь</t>
  </si>
  <si>
    <t>МВт</t>
  </si>
  <si>
    <t>Прямые договора без торгов</t>
  </si>
  <si>
    <t>Предельный уровнь цены на тепловую энергию (мощность), поставляемую теплоснабжающими организациями потребителям. Индикативы</t>
  </si>
  <si>
    <t>по централизованным системам</t>
  </si>
  <si>
    <t>торф</t>
  </si>
  <si>
    <t>Ноябрь</t>
  </si>
  <si>
    <t xml:space="preserve">      Экономия расходов в результате реализации мероприятий инвестиционной программы</t>
  </si>
  <si>
    <t xml:space="preserve">  Средства, полученные за счет платы за подключение (технологическое присоединение)</t>
  </si>
  <si>
    <t>[ Бюджетное финансирование ]</t>
  </si>
  <si>
    <t>г. Москва</t>
  </si>
  <si>
    <t>декабрь</t>
  </si>
  <si>
    <t>дрова</t>
  </si>
  <si>
    <t>м3</t>
  </si>
  <si>
    <t>Декабрь</t>
  </si>
  <si>
    <t xml:space="preserve">      Экономия расходов, связанная с сокращением потерь в тепловых сетях, сменой видов и (или) марки основного и (или) резервного топлива на источниках тепловой энергии, реализацией энергосервисного договора (контракта) в размере, определенном по решению регулируемой организации, плату за подключение (технологическое присоединение) к системам централизованного теплоснабжения</t>
  </si>
  <si>
    <t xml:space="preserve">  Федеральный бюджет</t>
  </si>
  <si>
    <t>г.Санкт-Петербург</t>
  </si>
  <si>
    <t>Объём приобретаемой тепловой энергии (мощности), используемой для горячего водоснабжения. Ед.измерения  /kind_of_volume_te_unit/</t>
  </si>
  <si>
    <t>Вид деятельности /kind_of_activity/</t>
  </si>
  <si>
    <t>TITLE_IP_DETAILED_METHOD_LIST</t>
  </si>
  <si>
    <t>опил</t>
  </si>
  <si>
    <t xml:space="preserve">      Экономия расходов, достигнутая регулируемой организацией в результате реализации мероприятий инвестиционной программы за счет амортизационных отчислений</t>
  </si>
  <si>
    <t xml:space="preserve">  Бюджет субъекта РФ</t>
  </si>
  <si>
    <t>г.Севастополь</t>
  </si>
  <si>
    <t>TemplateState</t>
  </si>
  <si>
    <t>НДС общий люди_x000D_
/kind_of_NDS_tariff_people/</t>
  </si>
  <si>
    <t>НДС_x000D_
/kind_of_NDS_tariff_people/</t>
  </si>
  <si>
    <t>тыс. Гкал</t>
  </si>
  <si>
    <t>производство тепловой энергии (мощности)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МВт и более</t>
  </si>
  <si>
    <t>отходы березовые</t>
  </si>
  <si>
    <t xml:space="preserve">      Экономия расходов, достигнутая регулируемой организацией в результате реализации мероприятий инвестиционной программы за счет капитальных вложений в составе нормативной прибыли</t>
  </si>
  <si>
    <t xml:space="preserve">  Бюджет муниципального образования</t>
  </si>
  <si>
    <t>Еврейская автономная область</t>
  </si>
  <si>
    <t>START_FILL</t>
  </si>
  <si>
    <t>тариф с НДС организаций-плательщиков НДС</t>
  </si>
  <si>
    <t>тариф организаций не являющихся плательщиками НДС</t>
  </si>
  <si>
    <t>производство тепловой энергии (мощности)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менее 25 МВт</t>
  </si>
  <si>
    <t>отходы осиновые</t>
  </si>
  <si>
    <t xml:space="preserve">      Экономия расходов, достигнутая регулируемой организацией в результате реализации мероприятий инвестиционной программы за счет прочих собственных средств</t>
  </si>
  <si>
    <t>[ Прочие источники финансирования ]</t>
  </si>
  <si>
    <t>Забайкальский край</t>
  </si>
  <si>
    <t>производство тепловой энергии (мощности) не в режиме комбинированной выработки электрической и тепловой энергии источниками тепловой энергии</t>
  </si>
  <si>
    <t>по мероприятиям и группам мероприятий</t>
  </si>
  <si>
    <t>печное топливо</t>
  </si>
  <si>
    <t xml:space="preserve">      Экономия расходов, достигнутая регулируемой организацией в результате реализации мероприятий инвестиционной программы за счет за счет займов и кредитов</t>
  </si>
  <si>
    <t xml:space="preserve">  Лизинг</t>
  </si>
  <si>
    <t>COLDVSNA_PT_VED_NAME_LIST</t>
  </si>
  <si>
    <t>HOTVSNA_PT_VED_NAME_LIST</t>
  </si>
  <si>
    <t>VOTV_PT_VED_NAME_LIST</t>
  </si>
  <si>
    <t>TKO_PT_VED_NAME_LIST</t>
  </si>
  <si>
    <t>Ивановская область</t>
  </si>
  <si>
    <t>производство теплоносителя</t>
  </si>
  <si>
    <t>пилеты</t>
  </si>
  <si>
    <t xml:space="preserve">      Экономия средств, достигнутая регулируемой организацией в результате снижения расходов</t>
  </si>
  <si>
    <t xml:space="preserve">  Прочие</t>
  </si>
  <si>
    <t>COLDVSNA_PT_VED_ID</t>
  </si>
  <si>
    <t>COLDVSNA_PT_VED_NAME</t>
  </si>
  <si>
    <t>HOTVSNA_PT_VED_ID</t>
  </si>
  <si>
    <t>HOTVSNA_PT_VED_NAME</t>
  </si>
  <si>
    <t>VOTV_PT_VED_ID</t>
  </si>
  <si>
    <t>VOTV_PT_VED_NAME</t>
  </si>
  <si>
    <t>TKO_PT_VED_ID</t>
  </si>
  <si>
    <t>TKO_PT_VED_NAME</t>
  </si>
  <si>
    <t>Иркутская область</t>
  </si>
  <si>
    <t>передача тепловой энергии и теплоносителя</t>
  </si>
  <si>
    <t>IP_CLAIM_LIST</t>
  </si>
  <si>
    <t>смола</t>
  </si>
  <si>
    <t xml:space="preserve">  Прочие привлеченные средства</t>
  </si>
  <si>
    <t xml:space="preserve">      Экономия расходов в результате реализации энергосервисного договора (контракта) в результате снижения расходов, в размере, определенном по решению регулируемой организации, плату за подключение к централизованным системам водоснабжения</t>
  </si>
  <si>
    <t>Производство тепловой энергии. Некомбинированная выработка</t>
  </si>
  <si>
    <t>Холодное водоснабжение, в т.ч. подвоз воды</t>
  </si>
  <si>
    <t>Горячее водоснабжение</t>
  </si>
  <si>
    <t>Водоотведение, в том числе очистка сточных вод, обращение с осадком сточных вод</t>
  </si>
  <si>
    <t>Захоронение твердых коммунальных отходов</t>
  </si>
  <si>
    <t>Кабардино-Балкарская республика</t>
  </si>
  <si>
    <t>сбыт тепловой энергии и теплоносителя</t>
  </si>
  <si>
    <t>уменьшение удельных затрат (повышение КПД)</t>
  </si>
  <si>
    <t>щепа</t>
  </si>
  <si>
    <t>Производство тепловой энергии. Комбинированная выработка с уст. мощностью производства электрической энергии менее 25 МВт</t>
  </si>
  <si>
    <t>Подключение (технологическое присоединение) к централизованной системе водоснабжения</t>
  </si>
  <si>
    <t>Транспортировка</t>
  </si>
  <si>
    <t>Прием и транспортировка сточных вод</t>
  </si>
  <si>
    <t>Обезвреживание твердых коммунальных отходов</t>
  </si>
  <si>
    <t>Калининградская область</t>
  </si>
  <si>
    <t>20</t>
  </si>
  <si>
    <t>подключение к системе теплоснабжения</t>
  </si>
  <si>
    <t>автоматизация (с уменьшением штата)</t>
  </si>
  <si>
    <t>горючий сланец</t>
  </si>
  <si>
    <t>Производство тепловой энергии. Комбинированная выработка с уст. мощностью производства электрической энергии 25 МВт и более</t>
  </si>
  <si>
    <t>Холодное водоснабжение, в т.ч. транспортировка воды, включая распределение воды</t>
  </si>
  <si>
    <t>Подключение (технологическое присоединение) к централизованной системе горячего водоснабжения</t>
  </si>
  <si>
    <t>Подключение (технологическое присоединение) к централизованной системе водоотведения</t>
  </si>
  <si>
    <t>Обработка твердых коммунальных отходов</t>
  </si>
  <si>
    <t>Калужская область</t>
  </si>
  <si>
    <t>поддержание резервной тепловой мощности при отсутствии потребления тепловой энергии</t>
  </si>
  <si>
    <t>уменьшение издержек на производство</t>
  </si>
  <si>
    <t>керосин</t>
  </si>
  <si>
    <t>Производство. Теплоноситель</t>
  </si>
  <si>
    <t>Камчатский край</t>
  </si>
  <si>
    <t>21</t>
  </si>
  <si>
    <t>снижение аварийности</t>
  </si>
  <si>
    <t>кислородно-водородная смесь</t>
  </si>
  <si>
    <t>Передача. Тепловая энергия</t>
  </si>
  <si>
    <t>Энергетическая утилизация</t>
  </si>
  <si>
    <t>Карачаево-Черкесская республика</t>
  </si>
  <si>
    <t>22</t>
  </si>
  <si>
    <t>улучшение качества</t>
  </si>
  <si>
    <t>электроэнергия (НН)</t>
  </si>
  <si>
    <t>тыс кВт.ч</t>
  </si>
  <si>
    <t>Передача. Теплоноситель</t>
  </si>
  <si>
    <t>Кемеровская область</t>
  </si>
  <si>
    <t>23</t>
  </si>
  <si>
    <t>повышение надёжности и энергетической эффективности</t>
  </si>
  <si>
    <t>электроэнергия (СН1)</t>
  </si>
  <si>
    <t>Сбыт. Тепловая энергия</t>
  </si>
  <si>
    <t>Кировская область</t>
  </si>
  <si>
    <t>CROSSES</t>
  </si>
  <si>
    <t>электроэнергия (СН2)</t>
  </si>
  <si>
    <t>Сбыт. Теплоноситель</t>
  </si>
  <si>
    <t>Костромская область</t>
  </si>
  <si>
    <t>×</t>
  </si>
  <si>
    <t>электроэнергия (ВН)</t>
  </si>
  <si>
    <t>Подключение (технологическое присоединение) к системе теплоснабжения</t>
  </si>
  <si>
    <t>Краснодарский край</t>
  </si>
  <si>
    <t>Текущая дата</t>
  </si>
  <si>
    <t>PT_GROUP_CONSUMER_LIST</t>
  </si>
  <si>
    <t>мощность</t>
  </si>
  <si>
    <t>тыс кВт</t>
  </si>
  <si>
    <t>Поддержание резервной тепловой мощности при отсутствии потребления тепловой энергии</t>
  </si>
  <si>
    <t>Красноярский край</t>
  </si>
  <si>
    <t>Организация</t>
  </si>
  <si>
    <t>25.07.2023 22:51:32</t>
  </si>
  <si>
    <t>Курганская область</t>
  </si>
  <si>
    <t>28</t>
  </si>
  <si>
    <t xml:space="preserve">  Плата концедента на строительство, модернизацию и (или) реконструкцию объекта концессионного соглашения в размере, предусмотренном заключенным концессионным соглашением</t>
  </si>
  <si>
    <t>Курская область</t>
  </si>
  <si>
    <t>29</t>
  </si>
  <si>
    <t>население</t>
  </si>
  <si>
    <t xml:space="preserve">  Иные бюджетные средства</t>
  </si>
  <si>
    <t>Ленинградская область</t>
  </si>
  <si>
    <t>Виды деятельности</t>
  </si>
  <si>
    <t>https://appsrv.regportal-tariff.ru/procwsxls/</t>
  </si>
  <si>
    <t>30</t>
  </si>
  <si>
    <t>Липецкая область</t>
  </si>
  <si>
    <t>31</t>
  </si>
  <si>
    <t>Магаданская область</t>
  </si>
  <si>
    <t>32</t>
  </si>
  <si>
    <t>Московская область</t>
  </si>
  <si>
    <t>33</t>
  </si>
  <si>
    <t>PT_SCHEME_LIST</t>
  </si>
  <si>
    <t xml:space="preserve">  Доход от взимания платы за нарушение нормативов по объему и (или) составу сточных вод</t>
  </si>
  <si>
    <t>Мурманская область</t>
  </si>
  <si>
    <t>TEMPLATE_SPHERE</t>
  </si>
  <si>
    <t>34</t>
  </si>
  <si>
    <t xml:space="preserve">  Доход от взимания платы за негативное воздействие на работу централизованной системы водоотведения</t>
  </si>
  <si>
    <t>Ненецкий автономный округ</t>
  </si>
  <si>
    <t>теплоснабжения</t>
  </si>
  <si>
    <t>теплоснабжение</t>
  </si>
  <si>
    <t>35</t>
  </si>
  <si>
    <t>Нижегородская область</t>
  </si>
  <si>
    <t>холодного водоснабжения</t>
  </si>
  <si>
    <t>холодное водоснабжение</t>
  </si>
  <si>
    <t>36</t>
  </si>
  <si>
    <t>HEAT_FIN_SRC_VLD_LIST</t>
  </si>
  <si>
    <t>VSNA_FIN_SRC_VLD_LIST</t>
  </si>
  <si>
    <t>VOTV_FIN_SRC_VLD_LIST</t>
  </si>
  <si>
    <t>OTKO_FIN_SRC_VLD_LIST</t>
  </si>
  <si>
    <t>Новгородская область</t>
  </si>
  <si>
    <t>водоотведения</t>
  </si>
  <si>
    <t>водоотведение</t>
  </si>
  <si>
    <t>37</t>
  </si>
  <si>
    <t>Прибыль направляемая на инвестиции</t>
  </si>
  <si>
    <t>Нормативная прибыль</t>
  </si>
  <si>
    <t>Новосибирская область</t>
  </si>
  <si>
    <t>горячего водоснабжения</t>
  </si>
  <si>
    <t>горячее водоснабжение</t>
  </si>
  <si>
    <t>38</t>
  </si>
  <si>
    <t>Амортизационные отчисления с выделением результатов переоценки основных средств и нематериальных активов</t>
  </si>
  <si>
    <t>Капитальные вложения (инвестиции), финансируемые за счет нормативной прибыли, учитываемой в необходимой валовой выручке</t>
  </si>
  <si>
    <t>Амортизационные отчисления</t>
  </si>
  <si>
    <t>Омская область</t>
  </si>
  <si>
    <t>обращения с твердыми коммунальными отходами</t>
  </si>
  <si>
    <t>PT_TN_LIST</t>
  </si>
  <si>
    <t>Прочие амортизационные отчисления</t>
  </si>
  <si>
    <t>Амортизационные отчисления за исключением переоценки основных средств и нематериальных активов</t>
  </si>
  <si>
    <t>Кредиты</t>
  </si>
  <si>
    <t>Оренбургская область</t>
  </si>
  <si>
    <t>40</t>
  </si>
  <si>
    <t>Прочие собственные средства</t>
  </si>
  <si>
    <t>Амортизационные отчисления в результате переоценки основных средств и нематериальных активов</t>
  </si>
  <si>
    <t>Займы, предоставленные Фондом ЖКХ за счет средств ФНБ</t>
  </si>
  <si>
    <t>Орловская область</t>
  </si>
  <si>
    <t>41</t>
  </si>
  <si>
    <t>За счет платы за технологическое присоединение</t>
  </si>
  <si>
    <t>Прочие займы</t>
  </si>
  <si>
    <t>Пензенская область</t>
  </si>
  <si>
    <t>PeriodIsEmpty</t>
  </si>
  <si>
    <t>NameTemplatesInTitle</t>
  </si>
  <si>
    <t>NameTemplatesInListMO</t>
  </si>
  <si>
    <t>42</t>
  </si>
  <si>
    <t>Экономия расходов в результате реализации мероприятий инвестиционной программы</t>
  </si>
  <si>
    <t>Федеральный бюджет</t>
  </si>
  <si>
    <t>Пермский край</t>
  </si>
  <si>
    <t>TEMPLATE_GROUP</t>
  </si>
  <si>
    <t>B</t>
  </si>
  <si>
    <t>CodeTemplate</t>
  </si>
  <si>
    <t>StartDate</t>
  </si>
  <si>
    <t>EndDate</t>
  </si>
  <si>
    <t>43</t>
  </si>
  <si>
    <t>Экономия расходов, связанная с сокращением потерь в тепловых сетях, сменой видов и (или) марки основного и (или) резервного топлива на источниках тепловой энергии, реализацией энергосервисного договора (контракта) в размере, определенном по решению регулируемой организации, плату за подключение (технологическое присоединение) к системам централизованного теплоснабжения</t>
  </si>
  <si>
    <t>Средства, полученные за счет платы за подключение (технологическое присоединение)</t>
  </si>
  <si>
    <t>Бюджет субъекта РФ</t>
  </si>
  <si>
    <t>Приморский край</t>
  </si>
  <si>
    <t>O</t>
  </si>
  <si>
    <t>44</t>
  </si>
  <si>
    <t>Экономия расходов, достигнутая регулируемой организацией в результате реализации мероприятий инвестиционной программы за счет амортизационных отчислений</t>
  </si>
  <si>
    <t>Бюджет муниципального образования</t>
  </si>
  <si>
    <t>Псковская область</t>
  </si>
  <si>
    <t>Q</t>
  </si>
  <si>
    <t>Экономия расходов, достигнутая регулируемой организацией в результате реализации мероприятий инвестиционной программы за счет капитальных вложений в составе нормативной прибыли</t>
  </si>
  <si>
    <t>Лизинг</t>
  </si>
  <si>
    <t>Республика Адыгея</t>
  </si>
  <si>
    <t>Информация о показателях финансово-хозяйственной деятельности, об основных потребительских характеристиках регулируемых товаров и услуг, об инвестиционных программах</t>
  </si>
  <si>
    <t>46</t>
  </si>
  <si>
    <t>Экономия расходов, достигнутая регулируемой организацией в результате реализации мероприятий инвестиционной программы за счет прочих собственных средств</t>
  </si>
  <si>
    <t>Прочие</t>
  </si>
  <si>
    <t>Республика Алтай</t>
  </si>
  <si>
    <t>T</t>
  </si>
  <si>
    <t>Прочие привлеченные средства</t>
  </si>
  <si>
    <t>Экономия расходов, достигнутая регулируемой организацией в результате реализации мероприятий инвестиционной программы за счет за счет займов и кредитов</t>
  </si>
  <si>
    <t>Республика Башкортостан</t>
  </si>
  <si>
    <t>I</t>
  </si>
  <si>
    <t>48</t>
  </si>
  <si>
    <t>Экономия средств, достигнутая регулируемой организацией в результате снижения расходов</t>
  </si>
  <si>
    <t>Республика Бурятия</t>
  </si>
  <si>
    <t>R</t>
  </si>
  <si>
    <t>49</t>
  </si>
  <si>
    <t>Экономия расходов в результате реализации энергосервисного договора (контракта) в результате снижения расходов, в размере, определенном по решению регулируемой организации, плату за подключение к централизованным системам водоснабжения</t>
  </si>
  <si>
    <t>Республика Дагестан</t>
  </si>
  <si>
    <t>P</t>
  </si>
  <si>
    <t>50</t>
  </si>
  <si>
    <t>Республика Ингушетия</t>
  </si>
  <si>
    <t>ROIV</t>
  </si>
  <si>
    <t>Показатели, подлежащие раскрытию органами регулирования</t>
  </si>
  <si>
    <t>51</t>
  </si>
  <si>
    <t>Республика Калмыкия</t>
  </si>
  <si>
    <t>52</t>
  </si>
  <si>
    <t>PT_NETS_LIST</t>
  </si>
  <si>
    <t>Республика Карелия</t>
  </si>
  <si>
    <t>53</t>
  </si>
  <si>
    <t>Республика Коми</t>
  </si>
  <si>
    <t>TERRITORY_ID</t>
  </si>
  <si>
    <t>начинать только с 2, остальное по умолчанию</t>
  </si>
  <si>
    <t>54</t>
  </si>
  <si>
    <t>Республика Крым</t>
  </si>
  <si>
    <t>DIFFERENTIATION_ID</t>
  </si>
  <si>
    <t>55</t>
  </si>
  <si>
    <t>Республика Марий Эл</t>
  </si>
  <si>
    <t>IP_ID</t>
  </si>
  <si>
    <t>56</t>
  </si>
  <si>
    <t>Республика Мордовия</t>
  </si>
  <si>
    <t>начинать только с 30, остальное по умолчанию</t>
  </si>
  <si>
    <t>57</t>
  </si>
  <si>
    <t>PT_DIAMETERS_LIST</t>
  </si>
  <si>
    <t>Республика Саха (Якутия)</t>
  </si>
  <si>
    <t>VDET_ID</t>
  </si>
  <si>
    <t>58</t>
  </si>
  <si>
    <t>Республика Северная Осетия-Алания</t>
  </si>
  <si>
    <t>NTAR_ID</t>
  </si>
  <si>
    <t>59</t>
  </si>
  <si>
    <t>Средства, полученные регулируемой организацией в виде платы за сброс загрязняющих веществ сверх установленных нормативов состава сточных вод</t>
  </si>
  <si>
    <t>Республика Татарстан</t>
  </si>
  <si>
    <t>Средства, полученные регулируемой организацией в виде платы за негативное воздействие на работу централизованной системы водоотведения</t>
  </si>
  <si>
    <t>Республика Тыва</t>
  </si>
  <si>
    <t>CS_ID</t>
  </si>
  <si>
    <t>Республика Хакасия</t>
  </si>
  <si>
    <t>IST_TE_ID</t>
  </si>
  <si>
    <t>Ростовская область</t>
  </si>
  <si>
    <t>Рязанская область</t>
  </si>
  <si>
    <t>PT_LOAD_LIST</t>
  </si>
  <si>
    <t>Самарская область</t>
  </si>
  <si>
    <t>Саратовская область</t>
  </si>
  <si>
    <t>HEAT_IP_EVENT_GROUP_LIST</t>
  </si>
  <si>
    <t>VSNA_IP_EVENT_GROUP_LIST</t>
  </si>
  <si>
    <t>VOTV_IP_EVENT_GROUP_LIST</t>
  </si>
  <si>
    <t>OTKO_IP_EVENT_GROUP_LIST</t>
  </si>
  <si>
    <t>Сахалинская область</t>
  </si>
  <si>
    <t>Строительство, реконструкция или модернизация объектов теплоснабжения в целях подключения потребителей с указанием объектов теплоснабжения, строительство которых финансируется за счет платы за подключение</t>
  </si>
  <si>
    <t>Строительство, реконструкция или модернизация объектов водоснабжения в целях подключения потребителей с указанием объектов водоснабжения, строительство которых финансируется за счет платы за подключение</t>
  </si>
  <si>
    <t>Строительство, реконструкция или модернизация объектов водоотведения и очистки сточных вод в целях подключения потребителей с указанием объектов водоотведения и очистки сточных вод, строительство которых финансируется за счет платы за подключение</t>
  </si>
  <si>
    <t>Мероприятия инвестиционной программы в части накопления твердых коммунальных отходов</t>
  </si>
  <si>
    <t>Свердловская область</t>
  </si>
  <si>
    <t>Строительство новых объектов теплоснабжения, не связанных с подключением (технологическим присоединением) новых потребителей, в том числе строительство новых тепловых сетей</t>
  </si>
  <si>
    <t>Строительство новых объектов водоснабжения, не связанных с подключением (технологическим присоединением) новых потребителей, в том числе строительство новых сетей водоснабжения</t>
  </si>
  <si>
    <t>Строительство новых объектов водоотведения и очистки сточных вод, не связанных с подключением (технологическим присоединением) новых потребителей, в том числе строительство новых сетей водоотведения и очистки сточных вод</t>
  </si>
  <si>
    <t>Мероприятия инвестиционной программы в части обработки твердых коммунальных отходов</t>
  </si>
  <si>
    <t>Смоленская область</t>
  </si>
  <si>
    <t>Реконструкция или модернизация существующих объектов теплоснабжения в целях снижения уровня износа существующих объектов теплоснабжения</t>
  </si>
  <si>
    <t>Реконструкция или модернизация существующих объектов водоснабжения в целях снижения уровня износа существующих объектов водоснабжения</t>
  </si>
  <si>
    <t>Реконструкция или модернизация существующих объектов водоотведения и очистки сточных вод в целях снижения уровня износа существующих объектов водоотведения и очистки сточных вод</t>
  </si>
  <si>
    <t>Мероприятия инвестиционной программы в части утилизации твердых коммунальных отходов</t>
  </si>
  <si>
    <t>Ставропольский край</t>
  </si>
  <si>
    <t>Мероприятия, направленные на повышение экологической эффективности</t>
  </si>
  <si>
    <t>Мероприятия инвестиционной программы в части обезвреживания твердых коммунальных отходов</t>
  </si>
  <si>
    <t>Тамбовская область</t>
  </si>
  <si>
    <t>Вывод из эксплуатации, консервации и демонтаж объектов теплоснабжения</t>
  </si>
  <si>
    <t>Вывод из эксплуатации, консервация и демонтаж объектов водоснабжения</t>
  </si>
  <si>
    <t>Вывод из эксплуатации, консервация и демонтаж объектов водоотведения и очистки сточных вод</t>
  </si>
  <si>
    <t>Мероприятия инвестиционной программы в части хранения твердых коммунальных отходов</t>
  </si>
  <si>
    <t>Тверская область</t>
  </si>
  <si>
    <t>Мероприятия, направленные на повышение энергоэффективности в сфере теплоснабжения</t>
  </si>
  <si>
    <t>Мероприятия, направленные на повышение энергоэффективности в сфере водоснабжения</t>
  </si>
  <si>
    <t>Мероприятия, направленные на повышение энергоэффективности в сфере водоотведения и очистки сточных вод</t>
  </si>
  <si>
    <t>Мероприятия инвестиционной программы в части захоронения твердых коммунальных отходов</t>
  </si>
  <si>
    <t>Томская область</t>
  </si>
  <si>
    <t>PT_DIAMETERS_2_LIST</t>
  </si>
  <si>
    <t>Мероприятия по подготовке проектной документации</t>
  </si>
  <si>
    <t>Тульская область</t>
  </si>
  <si>
    <t>Мероприятия, предусматривающие капитальные вложения в объекты основных средств и нематериальные активы регулируемой организации, обусловленные необходимостью соблюдения регулируемыми организациями обязательных требований, установленных законодательством Российской Федерации и связанных с осуществлением деятельности в сфере теплоснабжения, включая мероприятия по обеспечению безопасности и антитеррористической защищенности объектов топливно-энергетического комплекса, безопасности критической информационной инфраструктуры</t>
  </si>
  <si>
    <t>Мероприятия, предусматривающие капитальные вложения в объекты основных средств и нематериальные активы регулируемой организации, обусловленные необходимостью соблюдения регулируемыми организациями обязательных требований, установленных законодательством Российской Федерации и связанных с обеспечением деятельности в сфере горячего водоснабжения, холодного водоснабжения с использованием централизованных систем водоснабжения</t>
  </si>
  <si>
    <t xml:space="preserve">Мероприятия, предусматривающие капитальные вложения в объекты основных средств и нематериальные активы регулируемой организации, обусловленные необходимостью соблюдения регулируемыми организациями обязательных требований, установленных законодательством Российской Федерации и связанных с обеспечением деятельности в сфере водоотведения с использованием централизованных систем водоотведения_x000D_
</t>
  </si>
  <si>
    <t>Тюменская область</t>
  </si>
  <si>
    <t>Удмуртская республика</t>
  </si>
  <si>
    <t>Ульяновская область</t>
  </si>
  <si>
    <t>HEAT_IP_EVENT_SUBGROUP_1_LIST</t>
  </si>
  <si>
    <t>VSNA_IP_EVENT_SUBGROUP_1_LIST</t>
  </si>
  <si>
    <t>VOTV_IP_EVENT_SUBGROUP_1_LIST</t>
  </si>
  <si>
    <t>Хабаровский край</t>
  </si>
  <si>
    <t>строительство новых тепловых сетей в целях подключения потребителей</t>
  </si>
  <si>
    <t>строительство новых сетей водоснабжения в целях подключения потребителей</t>
  </si>
  <si>
    <t>строительство новых сетей водоотведения и очистки сточных вод в целях подключения потребителей</t>
  </si>
  <si>
    <t>Ханты-Мансийский автономный округ</t>
  </si>
  <si>
    <t>строительство иных объектов теплоснабжения за исключением тепловых сетей в целях подключения потребителей</t>
  </si>
  <si>
    <t>строительство иных объектов водоснабжения, за исключением сетей водоснабжения в целях подключения потребителей</t>
  </si>
  <si>
    <t>строительство иных объектов водоотведения и очистки сточных вод, за исключением сетей водоотведения и очистки сточных вод в целях подключения потребителей</t>
  </si>
  <si>
    <t>Челябинская область</t>
  </si>
  <si>
    <t>увеличение пропускной способности существующих тепловых сетей в целях подключения потребителей</t>
  </si>
  <si>
    <t>увеличение пропускной способности существующих сетей водоснабжения в целях подключения потребителей</t>
  </si>
  <si>
    <t>увеличение пропускной способности существующих сетей водоотведения и очистки сточных вод в целях подключения потребителей</t>
  </si>
  <si>
    <t>Чеченская республика</t>
  </si>
  <si>
    <t>увеличение мощности и производительности существующих объектов теплоснабжения за исключением тепловых сетей в целях подключения потребителей</t>
  </si>
  <si>
    <t>увеличение мощности и производительности существующих объектов водоснабжения, за исключением сетей водоснабжения в целях подключения потребителей</t>
  </si>
  <si>
    <t>увеличение мощности и производительности существующих объектов водоотведения и очистки сточных вод за исключением сетей водоотведения и очистки сточных вод, в целях подключения потребителей</t>
  </si>
  <si>
    <t>Чувашская республика</t>
  </si>
  <si>
    <t>TYPE_TKO_LIST</t>
  </si>
  <si>
    <t>Чукотский автономный округ</t>
  </si>
  <si>
    <t>несортированные</t>
  </si>
  <si>
    <t>Ямало-Ненецкий автономный округ</t>
  </si>
  <si>
    <t>сортированные</t>
  </si>
  <si>
    <t>HEAT_IP_EVENT_SUBGROUP_3_LIST</t>
  </si>
  <si>
    <t>VSNA_IP_EVENT_SUBGROUP_3_LIST</t>
  </si>
  <si>
    <t>VOTV_IP_EVENT_SUBGROUP_3_LIST</t>
  </si>
  <si>
    <t>Ярославская область</t>
  </si>
  <si>
    <t>крупногабаритные</t>
  </si>
  <si>
    <t>реконструкция или модернизация существующих тепловых сетей</t>
  </si>
  <si>
    <t>реконструкция или модернизация существующих сетей водоснабжения</t>
  </si>
  <si>
    <t>реконструкция или модернизация существующих сетей водоотведения и очистки сточных вод</t>
  </si>
  <si>
    <t>реконструкция или модернизация существующих объектов теплоснабжения, за исключением тепловых сетей</t>
  </si>
  <si>
    <t>реконструкция или модернизация существующих объектов водоснабжения, за исключением сетей водоснабжения</t>
  </si>
  <si>
    <t>реконструкция или модернизация существующих объектов водоотведения и очистки сточных вод, за исключением сетей водоотведения и очистки сточных вод</t>
  </si>
  <si>
    <t>CLASS_TKO_LIST</t>
  </si>
  <si>
    <t>II</t>
  </si>
  <si>
    <t>HEAT_IP_EVENT_SUBGROUP_5_LIST</t>
  </si>
  <si>
    <t>VSNA_IP_EVENT_SUBGROUP_5_LIST</t>
  </si>
  <si>
    <t>VOTV_IP_EVENT_SUBGROUP_5_LIST</t>
  </si>
  <si>
    <t>III</t>
  </si>
  <si>
    <t>вывод из эксплуатации, консервация и демонтаж тепловых сетей</t>
  </si>
  <si>
    <t>вывод из эксплуатации, консервация и демонтаж сетей водоснабжения</t>
  </si>
  <si>
    <t>вывод из эксплуатации, консервация и демонтаж сетей водоотведения и очистки сточных вод</t>
  </si>
  <si>
    <t>IV</t>
  </si>
  <si>
    <t>вывод из эксплуатации, консервация и демонтаж иных объектов теплоснабжения, за исключением тепловых сетей</t>
  </si>
  <si>
    <t>вывод из эксплуатации, консервация и демонтаж иных объектов водоснабжения, за исключением сетей водоснабжения</t>
  </si>
  <si>
    <t>вывод из эксплуатации, консервация и демонтаж иных объектов водоотведения и очистки сточных вод, за исключением сетей водоотведения и очистки сточных вод</t>
  </si>
  <si>
    <t>V</t>
  </si>
  <si>
    <t>HEAT_IP_EVENT_CI_STAGE_LIST</t>
  </si>
  <si>
    <t>VSNA_IP_EVENT_CI_STAGE_LIST</t>
  </si>
  <si>
    <t>VOTV_IP_EVENT_CI_STAGE_LIST</t>
  </si>
  <si>
    <t>OTKO_IP_EVENT_CI_STAGE_LIST</t>
  </si>
  <si>
    <t>производство тепловой энергии</t>
  </si>
  <si>
    <t>на забор и подъём воды</t>
  </si>
  <si>
    <t>на транспортировку сточных вод</t>
  </si>
  <si>
    <t>сбор</t>
  </si>
  <si>
    <t>передача теплоэнергии по региональным тепловым сетям</t>
  </si>
  <si>
    <t>на водоподготовку</t>
  </si>
  <si>
    <t>очистка сточных вод</t>
  </si>
  <si>
    <t>накопление</t>
  </si>
  <si>
    <t>прочие объекты и мероприятия, относимые к регулируемому виду деятельности</t>
  </si>
  <si>
    <t>на транспортировку воды</t>
  </si>
  <si>
    <t>обращение с осадком сточных вод</t>
  </si>
  <si>
    <t>транспортирование</t>
  </si>
  <si>
    <t>обработка</t>
  </si>
  <si>
    <t>утилизация</t>
  </si>
  <si>
    <t>обезвреживание</t>
  </si>
  <si>
    <t>размещение отходов</t>
  </si>
  <si>
    <t>энергетическая утилизация</t>
  </si>
  <si>
    <t>WARM_IP_EVENT_TYPE_LIST</t>
  </si>
  <si>
    <t>VSNA_IP_EVENT_TYPE_LIST</t>
  </si>
  <si>
    <t>VOTV_IP_EVENT_TYPE_LIST</t>
  </si>
  <si>
    <t>OTKO_IP_EVENT_TYPE_LIST</t>
  </si>
  <si>
    <t>Производство тепловой энергии</t>
  </si>
  <si>
    <t>Водоснабжение</t>
  </si>
  <si>
    <t>Водоотведение</t>
  </si>
  <si>
    <t>Обращение с твердыми коммунальными отходами</t>
  </si>
  <si>
    <t>Прочие объекты и мероприятия, относимые к регулируемому виду деятельности</t>
  </si>
  <si>
    <t>HEAT_PT_SCHEME</t>
  </si>
  <si>
    <t>et_CHANGE_INFO</t>
  </si>
  <si>
    <t>et_Comm</t>
  </si>
  <si>
    <t>et_TERRITORY_AREA, _MO</t>
  </si>
  <si>
    <t>et_DIFFERENTIATION_VD</t>
  </si>
  <si>
    <t>et_DIFFERENTIATION_AREA</t>
  </si>
  <si>
    <t>et_DIFFERENTIATION_SYSTEM</t>
  </si>
  <si>
    <t>et_ORG_INFO_1</t>
  </si>
  <si>
    <t>et_ORG_INFO_2</t>
  </si>
  <si>
    <t>et_ORG_TERRITORY_MO</t>
  </si>
  <si>
    <t>et_ORG_VD</t>
  </si>
  <si>
    <t>et_ED</t>
  </si>
  <si>
    <t>et_TERMS</t>
  </si>
  <si>
    <t>et_IP_MAIN</t>
  </si>
  <si>
    <t>ip_3</t>
  </si>
  <si>
    <t>Добавить реквизиты</t>
  </si>
  <si>
    <t>et_IP_MAIN_PROPERTY</t>
  </si>
  <si>
    <t>et_IP_DETAILED</t>
  </si>
  <si>
    <t>Добавить источник финансирования</t>
  </si>
  <si>
    <t>Добавить объект инфраструктуры</t>
  </si>
  <si>
    <t>Добавить мероприятие</t>
  </si>
  <si>
    <t>et_IP_DETAILED_OBJECT</t>
  </si>
  <si>
    <t>et_IP_DETAILED_IST_FIN</t>
  </si>
  <si>
    <t>et_IP_DETAILED_EVENT</t>
  </si>
  <si>
    <t>et_QRE</t>
  </si>
  <si>
    <t>Добавить цель</t>
  </si>
  <si>
    <t>et_B_FHD20_1_NOT_HEAT</t>
  </si>
  <si>
    <t>NOTSHOW</t>
  </si>
  <si>
    <t>Территория оказания услуг</t>
  </si>
  <si>
    <t>Централизованная система</t>
  </si>
  <si>
    <t>Информация об объемах товаров и услуг, их стоимости и способах приобретения у организаций, в том числе:</t>
  </si>
  <si>
    <t>Указывается сумма стоимости приобретения товаров и услуг у организаций, сумма оплаты услуг которых превышает 20% суммы расходов на капитальный и текущий ремонт основных производственных средства</t>
  </si>
  <si>
    <t>i</t>
  </si>
  <si>
    <t>отсутствует</t>
  </si>
  <si>
    <t>Добавить поставщика</t>
  </si>
  <si>
    <t>Расходы на услуги производственного характера, выполняемые по договорам с организациями на проведение регламентных работ в рамках технологического процесса. Из них товары и услуги, приобретенные у организаций, сумма оплаты услуг которых превышает 20% суммы расходов по статье:</t>
  </si>
  <si>
    <t>Указывается сумма стоимости приобретения товаров и услуг у организаций, сумма оплаты услуг которых превышает 20% суммы расходов на услуги производственного характера</t>
  </si>
  <si>
    <t>et_B_FHD20_1_HEAT</t>
  </si>
  <si>
    <t>et_B_FHD20_2, _3, _4</t>
  </si>
  <si>
    <t>Итого по поставщику, в том числе</t>
  </si>
  <si>
    <t>х</t>
  </si>
  <si>
    <t>Добавить товар/услугу</t>
  </si>
  <si>
    <t>Добавить способ</t>
  </si>
  <si>
    <t>et_DIFFERENTIATION_TARIFF(_etc)</t>
  </si>
  <si>
    <t>Добавить источник для дифференциации</t>
  </si>
  <si>
    <t>Добавить централизованную систему для дифференциации</t>
  </si>
  <si>
    <t>Добавить территорию для дифференциации</t>
  </si>
  <si>
    <t>Добавить наименование тарифа</t>
  </si>
  <si>
    <t>et_DIFFERENTIATION_TARIFF_NOT_HEAT(_etc)</t>
  </si>
  <si>
    <t>et_DIFFERENTIATION_TKO(_etc)</t>
  </si>
  <si>
    <t>Добавить класс ТКО</t>
  </si>
  <si>
    <t>Добавить вид ТКО</t>
  </si>
  <si>
    <t>Добавить технологическую особенность</t>
  </si>
  <si>
    <t>1.1.1</t>
  </si>
  <si>
    <t>Добавить описание формы публичного договора</t>
  </si>
  <si>
    <t>1.2.1</t>
  </si>
  <si>
    <t>Добавить описание договора</t>
  </si>
  <si>
    <t>1.3</t>
  </si>
  <si>
    <t>сведения о договорах, заключенных в соответствии с частями 2.1 и 2.2 статьи 8 Федерального закона "О теплоснабжении"</t>
  </si>
  <si>
    <t>Статья 8 ФЗ 190-ФЗ_x000D_
2.1. Соглашением сторон договора теплоснабжения и (или) договора поставки тепловой энергии (мощности) и (или) теплоносителя, но не выше цен (тарифов) на соответствующие товары в сфере теплоснабжения, установленных органом регулирования в соответствии с основами ценообразования в сфере теплоснабжения и правилами регулирования цен (тарифов) в сфере теплоснабжения, утвержденными Правительством Российской Федерации, определяются следующие виды цен на товары в сфере теплоснабжения, за исключением тепловой энергии (мощности) и (или) теплоносителя, реализация которых необходима для оказания коммунальных услуг по отоплению и горячему водоснабжению населению и приравненным к нему категориям потребителей:_x000D_
1) цены на тепловую энергию (мощность), производимую и (или) поставляемую с использованием теплоносителя в виде пара теплоснабжающими организациями потребителям, другим теплоснабжающим организациям;_x000D_
2) цены на теплоноситель в виде пара, поставляемый теплоснабжающими организациями потребителям, другим теплоснабжающим организациям;_x000D_
3) цены на тепловую энергию (мощность), теплоноситель, поставляемые теплоснабжающей организацией, владеющей на праве собственности или ином законном основании источником тепловой энергии, потребителю, теплопотребляющие установки которого технологически соединены с этим источником тепловой энергии непосредственно или через тепловую сеть, принадлежащую на праве собственности и (или) ином законном основании указанной теплоснабжающей организации или указанному потребителю, если такие теплопотребляющие установки и такая тепловая сеть не имеют иного технологического соединения с системой теплоснабжения и к тепловым сетям указанного потребителя не присоединены теплопотребляющие установки иных потребителей._x000D_
(часть 2.1 введена Федеральным законом от 01.12.2014 № 404-ФЗ)_x000D_
2.2. С 1 января 2018 года цены, указанные в части 2.1 настоящей статьи, не подлежат регулированию и определяются соглашением сторон договора теплоснабжения и (или) договора поставки тепловой энергии (мощности) и (или) теплоносителя, за исключением случаев:_x000D_
1) реализации тепловой энергии (мощности) и (или) теплоносителя, необходимых для оказания коммунальных услуг по отоплению и горячему водоснабжению населению и приравненным к нему категориям потребителей;_x000D_
2) производства тепловой энергии (мощности), теплоносителя с использованием источника тепловой энергии, установленная мощность которого составляет менее десяти гигакалорий в час, и (или) осуществления поставки теплоснабжающей организацией потребителю тепловой энергии в объеме менее пятидесяти тысяч гигакалорий за 2017 год.</t>
  </si>
  <si>
    <t>Прочие договора</t>
  </si>
  <si>
    <t>2.0</t>
  </si>
  <si>
    <t>Добавить сведения</t>
  </si>
  <si>
    <t>Сведения об условиях договоров на оказание услуг по транспортированию твердых коммунальных отходов</t>
  </si>
  <si>
    <t xml:space="preserve"> Форма договора на оказание услуг</t>
  </si>
  <si>
    <t>2.1.1</t>
  </si>
  <si>
    <t>Указывается форма договора, используемая организацией, в виде ссылки на документ, предварительно загруженный в хранилище файлов ФГИС ЕИАС, либо ссылка на официальный сайт в сети "Интернет", на котором размещена информация._x000D_
В случае наличия нескольких форм таких договоров информация по каждой из них указывается в отдельной строке.</t>
  </si>
  <si>
    <t>Добавить описание формы договора</t>
  </si>
  <si>
    <t>Указывается наименование тарифа в случае утверждения нескольких тарифов._x000D_
В случае наличия нескольких тарифов информация по ним указывается в отдельных строках.</t>
  </si>
  <si>
    <t>Территория действия тарифа</t>
  </si>
  <si>
    <t>Указывается наименование территории действия тарифа при наличии дифференциации тарифа по территориальному признаку._x000D_
В случае дифференциации тарифов по территориальному признаку информация по ним указывается в отдельных строках.</t>
  </si>
  <si>
    <t xml:space="preserve">Наименование системы теплоснабжения </t>
  </si>
  <si>
    <t>Указывается наименование системы теплоснабжения при наличии дифференциации тарифа по системам теплоснабжения._x000D_
В случае дифференциации тарифов по системам теплоснабжения информация по ним указывается в отдельных строках.</t>
  </si>
  <si>
    <t xml:space="preserve">Источник тепловой энергии  </t>
  </si>
  <si>
    <t>Указывается наименование источника тепловой энергии_x000D_
В случае дифференциации тарифов по источникам тепловой энергии информация по ним указывается в отдельных строках.</t>
  </si>
  <si>
    <t>SCHEME</t>
  </si>
  <si>
    <t>Схема подключения теплопотребляющей установки к коллектору источника тепловой энергии</t>
  </si>
  <si>
    <t>Указывается схема подключения теплопотребляющей установки к коллектору источника тепловой энергии только для тарифов на тепловую энергию и за услуги по поддержанию резервной мощности_x000D_
Значение выбирается из перечня:_x000D_
   - без дифференциации_x000D_
   - к коллектору источника тепловой энергии_x000D_
   - к тепловой сети без дополнительного преобразования на тепловых пунктах, эксплуатируемых теплоснабжающей организацией_x000D_
   - к тепловой сети после тепловых пунктов (на тепловых пунктах), эксплуатируемых теплоснабжающей организацией_x000D_
В случае дифференциации тарифов по схемам подключения теплопотребляющей установки к коллектору источника тепловой энергии информация по ним указывается в отдельных строках.</t>
  </si>
  <si>
    <t>GROUP_CONSUMER</t>
  </si>
  <si>
    <t>Группа потребителей</t>
  </si>
  <si>
    <t>Указывается группа потребителей при наличии дифференциации тарифа по группам потребителей._x000D_
Значение выбирается из перечня:_x000D_
   - организации-перепродавцы;_x000D_
   - бюджетные организации;_x000D_
   - население;_x000D_
   - прочие;_x000D_
   - без дифференциации._x000D_
В случае дифференциации тарифов группам потребителей информация по ним указывается в отдельных строках.</t>
  </si>
  <si>
    <t>TN</t>
  </si>
  <si>
    <t>В колонке «Параметр дифференциации тарифов» указывается вид теплоносителя._x000D_
Значение выбирается из перечня:_x000D_
   - вода;_x000D_
   - пар;_x000D_
   - отборный пар, 1.2 – 2.5 кг/см2;_x000D_
   - отборный пар, 2.5 – 7 кг/см2;_x000D_
   - отборный пар, 7 – 13 кг/см2;_x000D_
   - отборный пар, &gt; 13 кг/см2;_x000D_
   - острый и редуцированный пар;_x000D_
   - горячая вода в системе централизованного теплоснабжения на отопление;_x000D_
   - горячая вода в системе централизованного теплоснабжения на горячее водоснабжение;_x000D_
   - прочее._x000D_
При утверждении двухставочного тарифа колонка «Одноставочный тариф» не заполняется._x000D_
При утверждении одноставочного тарифа колонки в блоке «Двухставочный тариф» не заполняются. Даты начала и окончания действия тарифов указываются в виде «ДД.ММ.ГГГГ»._x000D_
В случае отсутствия даты окончания действия тарифа в колонке «Дата окончания» указывается «нет». Информация в колонке «Ставка за содержание тепловой мощности, тыс. руб./Гкал/ч/мес» указывается только для тарифа по поддержанию резервной мощности._x000D_
В случае дифференциации тарифов по периодам действия тарифа информация по ним указывается в отдельных колонках._x000D_
В случае дифференциации тарифов по видам теплоносителя информация по ним указывается в отдельных строках.</t>
  </si>
  <si>
    <t>Добавить вид теплоносителя (параметры теплоносителя)</t>
  </si>
  <si>
    <t>Добавить группу потребителей</t>
  </si>
  <si>
    <t>Добавить схему подключения</t>
  </si>
  <si>
    <t>PERIOD_FROM_FIRST_ROW</t>
  </si>
  <si>
    <t>FLAG_BLOCK_COLUMN</t>
  </si>
  <si>
    <t>SPR</t>
  </si>
  <si>
    <t>FLAG_START_DATE</t>
  </si>
  <si>
    <t>FLAG_ETC_PERIOD</t>
  </si>
  <si>
    <t>FLAG_END_DATE</t>
  </si>
  <si>
    <t>Дата документа об утверждении тарифов</t>
  </si>
  <si>
    <t>Номер документа об утверждении тарифов</t>
  </si>
  <si>
    <t>Дата подачи заявления об утверждении тарифов</t>
  </si>
  <si>
    <t>Номер подачи заявления об утверждении тарифов</t>
  </si>
  <si>
    <t>dp</t>
  </si>
  <si>
    <t>Параметр дифференциации тарифа</t>
  </si>
  <si>
    <t>Величина и срок действия тарифа</t>
  </si>
  <si>
    <t>Наличие других периодов действия тарифа</t>
  </si>
  <si>
    <t>Наличие других сроков действия тарифа</t>
  </si>
  <si>
    <t>Добавить срок действия</t>
  </si>
  <si>
    <t>Одноставочный тариф,_x000D_
руб./Гкал</t>
  </si>
  <si>
    <t>Ставка за содержание тепловой мощности,_x000D_
тыс. руб./Гкал/ч/мес.</t>
  </si>
  <si>
    <t>Двухставочный тариф</t>
  </si>
  <si>
    <t>Срок действия</t>
  </si>
  <si>
    <t>NUM_NTAR</t>
  </si>
  <si>
    <t>NUM_TER</t>
  </si>
  <si>
    <t>NUM_CS</t>
  </si>
  <si>
    <t>NUM_IST_TE</t>
  </si>
  <si>
    <t>NUM_SCHEME</t>
  </si>
  <si>
    <t>NUM_GC</t>
  </si>
  <si>
    <t>NUM_TN</t>
  </si>
  <si>
    <t>ставка за тепловую энергию,_x000D_
руб./Гкал</t>
  </si>
  <si>
    <t>ставка за содержание тепловой мощности,_x000D_
тыс. руб./Гкал/ч/мес</t>
  </si>
  <si>
    <t>дата начала</t>
  </si>
  <si>
    <t>дата окончания</t>
  </si>
  <si>
    <t>&lt;1&gt;</t>
  </si>
  <si>
    <t>Для каждого вида тарифа в сфере теплоснабжения форма заполняется отдельно. При размещении информации по данной форме дополнительно указываются: наименование органа регулирования тарифов, принявшего решение об утверждении тарифа, дата и номер документа об утверждении тарифа, источник официального опубликования решения.</t>
  </si>
  <si>
    <t>По данной форме раскрывается в том числе информация об индикативном предельном уровне цены на тепловую энергию (мощность), которые определены в соответствии с Правилами определения в ценовых зонах теплоснабжения предельного уровня цены на тепловую энергию (мощность), включая правила индексации предельного уровня цены на тепловую энергию (мощность), утвержденными постановлением Правительства Российской Федерации от 15 декабря 2017 г. № 1562 "Об определении в ценовых зонах теплоснабжения предельного уровня цены на тепловую энергию (мощность), включая индексацию предельного уровня цены на тепловую энергию (мощность), и технико-экономических параметров работы котельных и тепловых сетей, используемых для расчета предельного уровня цены на тепловую энергию (мощность)", о графике поэтапного равномерного доведения предельного уровня цены на тепловую энергию (мощность) до уровня, определяемого в соответствии с указанными Правилами., а также  информация о тарифах на товары (услуги) в сфере теплоснабжения в случаях, указанных в частях 12.1 – 12.4 статьи 10 Федерального закона от 27.07.2010 № 190-ФЗ «О теплоснабжении» (далее – Федеральный закон № 190-ФЗ), теплоснабжающей организации, теплосетевой организации в ценовых зонах теплоснабжения.</t>
  </si>
  <si>
    <t xml:space="preserve">Для каждого вида тарифа в сфере теплоснабжения форма заполняется отдельно. При размещении информации по данной форме дополнительно указывается дата подачи заявления об утверждении тарифа и его номер. </t>
  </si>
  <si>
    <t>По этой форме раскрывается информация о расчетной величине тарифов в сфере теплоснабжения на товары (услуги) в случаях, указанных в частях 12.1 - 12.4 статьи 10 Федерального закона "О теплоснабжении"</t>
  </si>
  <si>
    <t>В случае представления регулируемой организацией по своей инициативе в исполнительный орган субъекта Российской Федерации в области государственного регулирования цен (тарифов) дополнительных документов и материалов к предложению об установлении цен (тарифов) в сфере теплоснабжения указанная в абзаце первом настоящего пункта информация в части, содержащейся в таких дополнительных документах и материалах, раскрывается регулируемой организацией в течение 7 дней со дня их представления</t>
  </si>
  <si>
    <t>Период действия</t>
  </si>
  <si>
    <t xml:space="preserve">Для каждого вида тарифа в сфере теплоснабжения форма заполняется отдельно. При размещении информации по данной форме дополнительно указываются: наименование органа регулирования тарифов, принявшего решение об утверждении тарифа, дата и номер документа об утверждении тарифа, источник официального опубликования решения._x000D_
</t>
  </si>
  <si>
    <t>В колонке «Параметр дифференциации тарифов» указывается вид теплоносителя._x000D_
Значение выбирается из перечня:_x000D_
   - вода;_x000D_
   - пар;_x000D_
   - отборный пар, 1.2 – 2.5 кг/см2;_x000D_
   - отборный пар, 2.5 – 7 кг/см2;_x000D_
   - отборный пар, 7 – 13 кг/см2;_x000D_
   - отборный пар, &gt; 13 кг/см2;_x000D_
   - острый и редуцированный пар;_x000D_
   - горячая вода в системе централизованного теплоснабжения на отопление;_x000D_
   - горячая вода в системе централизованного теплоснабжения на горячее водоснабжение;_x000D_
   - прочее._x000D_
При утверждении двухставочного тарифа тариф колонка "Одноставочный тариф" не заполняется._x000D_
При подаче утверждении одноставочного тарифа колонки в блоке "Двухставочный тариф" не заполняются.Информация в колонке "Двухставочный тариф" не указывается для тарифа на теплоноситель._x000D_
Даты начала и окончания действия тарифов указываются в виде "ДД.ММ.ГГГГ"._x000D_
В случае отсутствия даты окончания действия тарифа в колонке "Дата окончания" указывается "Нет".В случае дифференциации тарифов по видам теплоносителя информация по ним указывается в отдельных строках.</t>
  </si>
  <si>
    <t>Для каждого вида тарифа в сфере теплоснабжения форма заполняется отдельно. При размещении информации по данной форме дополнительно указывается дата подачи заявления об утверждении тарифа и его номер.</t>
  </si>
  <si>
    <t>При размещении информации по данной форме дополнительно указываются: наименование органа регулирования тарифов, принявшего решение об утверждении установлении цены (тарифа) в сфере теплоснабжения, реквизиты (дата и номер) решения документа об установлении цены (тарифа), источник официального опубликования решения об установлении цены (тарифа) в сфере теплоснабжения.</t>
  </si>
  <si>
    <t>По данной форме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23.4 Федерального закона № 190-ФЗ, а также  информация о тарифах на теплоноситель в виде воды, поставляемый теплоснабжающей организаций, теплосетевой организацией в ценовых зонах 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23.4 Федерального закона № 190-ФЗ.</t>
  </si>
  <si>
    <t>По данной форме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23.4 Федерального закона № 190-ФЗ.</t>
  </si>
  <si>
    <t>По данной форме раскрывается в том числе информация о тарифах на теплоноситель в виде воды, поставляемый теплоснабжающей организаций, теплосетевой организацией в ценовых зонах 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23.4 Федерального закона № 190-ФЗ.</t>
  </si>
  <si>
    <t>Указывается вид теплоносителя. _x000D_
Значение выбирается из перечня:_x000D_
   - вода;_x000D_
   - пар;_x000D_
   - отборный пар, 1.2 – 2.5 кг/см2;_x000D_
   - отборный пар, 2.5 – 7 кг/см2;_x000D_
   - отборный пар, 7 – 13 кг/см2;_x000D_
   - отборный пар, &gt; 13 кг/см2;_x000D_
   - острый и редуцированный пар;_x000D_
   - горячая вода в системе централизованного теплоснабжения на отопление;_x000D_
   - горячая вода в системе централизованного теплоснабжения на горячее водоснабжение;_x000D_
   - прочее._x000D_
В случае дифференциации тарифов по видам теплоносителя информация по ним указывается в отдельных строках.</t>
  </si>
  <si>
    <t>В колонке "Параметр дифференциации тарифов" указывается наименование поставщика в случае наличия дифференциации компонента двухставочного тарифа на горячую воду по поставщикам._x000D_
При утверждении двухставочного тарифа колонка "Одноставочный тариф" не заполняется._x000D_
При утверждении одноставочного тарифа колонки в блоке "Двухставочный тариф" не заполняются._x000D_
В случае отсутствия разбивки тарифа на компоненты колонки "Компонент на теплоноситель, руб./куб. м" и "Одноставочный компонент на тепловую энергию, руб/Гкал" не заполняются._x000D_
Даты начала и окончания действия тарифов указываются в виде "ДД.ММ.ГГГГ"._x000D_
В случае отсутствия даты окончания действия тарифа в колонке "Дата окончания" указывается "Нет"._x000D_
В случае дифференциации тарифов по поставщикам информация по ним указывается в отдельных строках.</t>
  </si>
  <si>
    <t>Добавить наименование поставщика</t>
  </si>
  <si>
    <t>Одноставочный тариф на горячую воду,_x000D_
руб./куб. м</t>
  </si>
  <si>
    <t>Двухкомпонентный тариф на горячую воду</t>
  </si>
  <si>
    <t>Компонент на теплоноситель,_x000D_
руб./куб. м</t>
  </si>
  <si>
    <t>Компонента на тепловую энергию</t>
  </si>
  <si>
    <t>Одноставочный компонент тарифа на тепловую энергию,_x000D_
руб/Гкал</t>
  </si>
  <si>
    <t>Двухставочный компонент тарифа на тепловую энергию</t>
  </si>
  <si>
    <t>NUM_CONS</t>
  </si>
  <si>
    <t>ставка за потребление горячей воды,_x000D_
руб./куб. м</t>
  </si>
  <si>
    <t>ставка за содержание тепловой мощности в компоненте на тепловую энергию,_x000D_
тыс. руб./Гкал/ч в мес.</t>
  </si>
  <si>
    <t>По данной форме раскрывается в том числе информация о тарифах на товары (услуги) в сфере теплоснабжения в случаях, указанных в частях 12.1 - 12.4 статьи 10 Федерального закона № 190-ФЗ, теплоснабжающей организации, теплосетевой организации в ценовых зонах теплоснабжения.</t>
  </si>
  <si>
    <t>По данной форме раскрывается в том числе информация о тарифах на горячую воду, поставляемую единой теплоснабжающей организацией потребителям с использованием открытых систем теплоснабжения (горячего водоснабжения), установленных в виде формулы двухкомпонентного тарифа с использованием компонента на теплоноситель и компонента на тепловую энергию, в том числе о числовых значениях компонентов указанного тарифа.</t>
  </si>
  <si>
    <t>В колонке "Параметр дифференциации тарифа/Заявитель" указывается наименование категории потребителей, к которой относится тариф._x000D_
Даты начала и окончания указываются в виде "ДД.ММ.ГГГГ"._x000D_
В случае отсутствия даты окончания тарифа в колонке "Дата окончания" указывается "Нет"._x000D_
В случае наличия дифференциации по подключаемой нагрузке, диапазону диаметров, типу прокладки тепловых сетей, информация по ним указывается в отдельных строках._x000D_
В случае дифференциации тарифов по периодам действия тарифа информация по ним указывается в отдельных колонках.</t>
  </si>
  <si>
    <t>Добавить диапазон диаметров тепловых сетей</t>
  </si>
  <si>
    <t>Добавить тип прокладки тепловых сетей</t>
  </si>
  <si>
    <t>Добавить подключаемую тепловую нагрузку</t>
  </si>
  <si>
    <t>Добавить строку</t>
  </si>
  <si>
    <t>FLAG</t>
  </si>
  <si>
    <t>LOAD</t>
  </si>
  <si>
    <t>NETS</t>
  </si>
  <si>
    <t>DIAMETERS</t>
  </si>
  <si>
    <t>Подключаемая тепловая нагрузка,_x000D_
куб. Гкал/ч</t>
  </si>
  <si>
    <t>Тип прокладки тепловых сетей</t>
  </si>
  <si>
    <t>Диаметр тепловых сетей,_x000D_
мм</t>
  </si>
  <si>
    <t>Плата за подключение (технологическое присоединение),_x000D_
тыс. руб./Гкал/ч (руб.)</t>
  </si>
  <si>
    <t>с НДС</t>
  </si>
  <si>
    <t>без НДС</t>
  </si>
  <si>
    <t>При размещении информации по данной форме дополнительно указываются: наименование органа регулирования тарифов, принявшего решение об установлении цены (тарифа) в сфере теплоснабжения, реквизиты (дата и номер) решения об установлении цены (тарифа), источник официального опубликования решения об установлении цены (тарифа) в сфере теплоснабжения.</t>
  </si>
  <si>
    <t>По данной форме раскрывается в том числе информация о плате за подключение (технологическое присоединение) к системе теплоснабжения, применяемой в случае, установленном частью 9 статьи 23.4 Федерального закона № 190-ФЗ.</t>
  </si>
  <si>
    <t>Период действия тарифа</t>
  </si>
  <si>
    <t>Добавить период</t>
  </si>
  <si>
    <t>Добавить источник тепловой энергии</t>
  </si>
  <si>
    <t>Добавить наименование системы теплоснабжения</t>
  </si>
  <si>
    <t>pt_vtar_3</t>
  </si>
  <si>
    <t>pt_ntar_4p</t>
  </si>
  <si>
    <t>pt_ter_4p</t>
  </si>
  <si>
    <t>pt_cs_4p</t>
  </si>
  <si>
    <t>pt_ist_te_4p</t>
  </si>
  <si>
    <t>pt_vtar_4p</t>
  </si>
  <si>
    <t>pt_ntar_4i</t>
  </si>
  <si>
    <t>pt_ter_4i</t>
  </si>
  <si>
    <t>pt_cs_4i</t>
  </si>
  <si>
    <t>pt_ist_te_4i</t>
  </si>
  <si>
    <t>pt_vtar_4i</t>
  </si>
  <si>
    <r>
      <t>Форма 4.2.5 Информация о плате за подключение к системе теплоснабжения в индивидуальном порядке</t>
    </r>
    <r>
      <rPr>
        <vertAlign val="superscript"/>
        <sz val="10"/>
        <rFont val="Tahoma"/>
        <family val="2"/>
        <charset val="204"/>
      </rPr>
      <t>1</t>
    </r>
  </si>
  <si>
    <t>NDS</t>
  </si>
  <si>
    <t>woNDS</t>
  </si>
  <si>
    <t>Заявитель</t>
  </si>
  <si>
    <t>Наименование объекта, адрес</t>
  </si>
  <si>
    <t>Подключаемая тепловая нагрузка, Гкал/ч</t>
  </si>
  <si>
    <t>Плата за подключение (технологическое присоединение), тыс. руб./Гкал/ч (руб.)</t>
  </si>
  <si>
    <t>Указывается наименование источника тепловой энергии.</t>
  </si>
  <si>
    <t>В колонке «Заявитель» указывается наименование заявителя, к которой относится тариф._x000D_
Даты начала и окончания указываются в виде «ДД.ММ.ГГГГ»._x000D_
В случае отсутствия даты окончания тарифа в колонке «Дата окончания» указывается «Нет»._x000D_
В случае наличия дифференциации по категориям потребителей/заявителям информация по ним указывается в отдельных строках._x000D_
В случае дифференциации по периодам действия тарифа информация по ним указывается в отдельных колонках.</t>
  </si>
  <si>
    <t xml:space="preserve">При размещении информации по данной форме дополнительно указываются: наименование органа регулирования тарифов, принявшего решение об утверждении тарифа, дата и номер документа об утверждении тарифа, источник официального опубликования решения._x000D_
_x000D_
По данной форме раскрывается в том числе информация о тарифах на товары (услуги) в сфере теплоснабжения в случаях, указанных в частях 12.1 - 12.4 статьи 10 Федерального закона № 190-ФЗ, теплоснабжающей организации, теплосетевой организации в ценовых зонах теплоснабжения._x000D_
</t>
  </si>
  <si>
    <t>наименование НПА</t>
  </si>
  <si>
    <t>контактный телефон службы</t>
  </si>
  <si>
    <t>адрес службы</t>
  </si>
  <si>
    <t>график работы службы</t>
  </si>
  <si>
    <t>c 01:03 до 18:55</t>
  </si>
  <si>
    <t>Информация о размещении данных на сайте регулируемой организации</t>
  </si>
  <si>
    <t>дата размещения информации</t>
  </si>
  <si>
    <t>Дата размещения информации указывается в виде «ДД.ММ.ГГГГ».</t>
  </si>
  <si>
    <t>адрес страницы сайта в сети «Интернет» и ссылка на документ</t>
  </si>
  <si>
    <t>В колонке «Информация» указывается адрес страницы сайта в сети «Интернет», на которой размещена информация._x000D_
В колонке «Ссылка на документ» указывается ссылка на скриншот страницы сайта в сети «Интернет», предварительно загруженный в хранилище файлов ФГИС ЕИАС, на которой размещена информация.</t>
  </si>
  <si>
    <t xml:space="preserve">Указывается ссылка на документ, предварительно загруженный в хранилище файлов ФГИС ЕИАС._x000D_
В случае наличия дополнительных сведений информация по ним указывается в отдельных строках._x000D_
</t>
  </si>
  <si>
    <t>В колонке «Информация» указывается полное наименование и реквизиты НПА._x000D_
В случае наличия нескольких НПА каждое из них указывается в отдельной строке.</t>
  </si>
  <si>
    <t>Указывается номер контактного телефона службы, ответственной за прием и обработку заявок о подключении к централизованной системе теплоснабжения. _x000D_
В случае наличия нескольких служб и (или) номеров телефонов, информация по каждому из них указывается в отдельной строке.</t>
  </si>
  <si>
    <t>5.2.1</t>
  </si>
  <si>
    <t>Указывается наименование субъекта Российской Федерации, муниципального района, города, иного населенного пункта, улицы, номер дома, при необходимости указывается корпус, строение, литера или дополнительная территория. Данные указываются согласно наименованиям адресных объектов в ФИАС._x000D_
В случае наличия нескольких служб и (или) адресов, информация по каждому из них указывается в отдельной строке.</t>
  </si>
  <si>
    <t>5.3.1</t>
  </si>
  <si>
    <t>Указывается график работы службы, ответственной за прием и обработку заявок о подключении к централизованной системе теплоснабжения. _x000D_
В случае наличия нескольких служб и (или) графиков работы, информация по каждому из них указывается в отдельной строке.</t>
  </si>
  <si>
    <t>В колонке «Информация» указывается описательная информация, характеризующая размещаемые данные._x000D_
В колонке «Ссылка на документ» указывается либо ссылка на документ, предварительно загруженный в хранилище файлов ФГИС ЕИАС, либо ссылка на официальный сайт в сети «Интернет», на котором размещена информация.</t>
  </si>
  <si>
    <t xml:space="preserve"> Указываются сведения о закупках, сумма стоимости приобретения товаров и услуг по которым превышает 20% суммы от плановой НВВ на очередной период регулирования.</t>
  </si>
  <si>
    <t>Форма 13. Информация об основных потребительских характеристиках товаров, услуг регулируемой организации, цены (тарифы) в сфере теплоснабжения на которые подлежат регулированию, об основных потребительских характеристиках товаров (услуг), поставляемых (оказываемых) единой теплоснабжающей организацией в ценовых зонах теплоснабжения, об основных потребительских характеристиках товаров (услуг), поставляемых (оказываемых) теплоснабжающей организацией в ценовых зонах теплоснабжения и теплосетевой организацией в ценовых зонах теплоснабжения</t>
  </si>
  <si>
    <t>Единица измерения</t>
  </si>
  <si>
    <t>Количество аварий на тепловых сетях</t>
  </si>
  <si>
    <t>ед. на км</t>
  </si>
  <si>
    <t>Указывается количество любых нарушений на тепловых сетях в расчете на один километр трубопровода.</t>
  </si>
  <si>
    <t>Количество аварий на источниках тепловой энергии</t>
  </si>
  <si>
    <t>ед. на источник</t>
  </si>
  <si>
    <t>Указывается количество любых нарушений на источниках тепловой энергии</t>
  </si>
  <si>
    <t>Показатели надежности и качества, установленные в соответствии с законодательством Российской Федерации</t>
  </si>
  <si>
    <t>В колонке «Ссылка на документ» указывается материал в виде ссылки на документ, содержащий информацию об установленных показателях надежности и качества, предварительно загруженный в хранилище данных ФГИС ЕИАС._x000D_
В случае, если показатели надежности и качества не утверждены в колонке «Информация» указывается «Не утверждены»._x000D_
Информация в данной строке не указывается теплоснабжающими организациями, теплосетевыми организациями в ценовых зонах теплоснабжения.</t>
  </si>
  <si>
    <t>Сведения о несоблюдении значений параметров качества теплоснабжения и (или) параметров, отражающих допустимые перерывы в теплоснабжении</t>
  </si>
  <si>
    <t>Информация в строках 4.1 – 4.3 указывается в случае, если организация имеет статус единой теплоснабжающей организации.</t>
  </si>
  <si>
    <t>количество составленных актов, подтверждающих факт превышения разрешенных отклонений значений параметров</t>
  </si>
  <si>
    <t>шт.</t>
  </si>
  <si>
    <t>средняя продолжительность устранения превышения разрешенных отклонений значений параметров</t>
  </si>
  <si>
    <t>дн.</t>
  </si>
  <si>
    <t>4.3</t>
  </si>
  <si>
    <t>совокупная величина снижения размера платы за тепловую энергию (мощность) потребителям в связи с превышением разрешенных отклонений значений параметров</t>
  </si>
  <si>
    <t>руб.</t>
  </si>
  <si>
    <t>Доля числа исполненных в срок договоров о подключении</t>
  </si>
  <si>
    <t>%</t>
  </si>
  <si>
    <t>Указывается процент общего количества заключенных договоров о подключении (технологическом присоединении)._x000D_
Информация в данной строке не указывается теплоснабжающими организациями, теплосетевыми организациями в ценовых зонах теплоснабжения.</t>
  </si>
  <si>
    <t>Средняя продолжительность рассмотрения заявлений о подключении</t>
  </si>
  <si>
    <t>Гкал/час</t>
  </si>
  <si>
    <t>Информация в данной строке не указывается теплоснабжающими организациями, теплосетевыми организациями в ценовых зонах теплоснабжения.</t>
  </si>
  <si>
    <t>ед</t>
  </si>
  <si>
    <t>5.0</t>
  </si>
  <si>
    <t>Добавить систему</t>
  </si>
  <si>
    <t>Наименование выведенного источника тепловой энергии</t>
  </si>
  <si>
    <t>В случае вывода из эксплуатации нескольких источников тепловой энергии информация по каждому из них указывается в отдельно.</t>
  </si>
  <si>
    <t>Дата вывода</t>
  </si>
  <si>
    <t>Дата вывода указывается в виде «ДД.ММ.ГГГГ».</t>
  </si>
  <si>
    <t>Наименование тепловой сети</t>
  </si>
  <si>
    <t>В случае вывода из эксплуатации нескольких тепловых сетей информация по каждой из них указывается в отдельно.</t>
  </si>
  <si>
    <t>Описание ограничения подачи тепловой энергии потребителям</t>
  </si>
  <si>
    <t>Дата начала ограничения</t>
  </si>
  <si>
    <t>Дата начала ограничения указывается в виде «ДД.ММ.ГГГГ».</t>
  </si>
  <si>
    <t>Дата завершения ограничения</t>
  </si>
  <si>
    <t>Дата завершения ограничения указывается в виде «ДД.ММ.ГГГГ».</t>
  </si>
  <si>
    <t>Описание прекращения режима потребления</t>
  </si>
  <si>
    <t>В колонке «Ссылка на документ» указывается материал в виде ссылки на документ, обосновывающий прекращение подачи тепловой энергии потребителям, предварительно загруженный в хранилище данных ФГИС ЕИАС.</t>
  </si>
  <si>
    <t>Дата прекращения</t>
  </si>
  <si>
    <t>Дата прекращения указывается в виде «ДД.ММ.ГГГГ».</t>
  </si>
  <si>
    <t>Форма 13.1. Информация о выводе объектов теплоснабжения из эксплуатации и основаниях ограничения, прекращения подачи тепловой энергии потребителям</t>
  </si>
  <si>
    <t>1.0</t>
  </si>
  <si>
    <t>Сведения о выводе источников тепловой энергии из эксплуатации</t>
  </si>
  <si>
    <t>Сведения о выводе тепловых сетей из эксплуатации</t>
  </si>
  <si>
    <t>Добавить тепловую сеть</t>
  </si>
  <si>
    <t>3.0</t>
  </si>
  <si>
    <t>Сведения об основаниях ограничения подачи тепловой энергии</t>
  </si>
  <si>
    <t>Осуществлялось</t>
  </si>
  <si>
    <t>В случае, если ограничения подачи тепловой энергии тепловой энергии не происходили, в колонке «Информация» указывается «Не осуществлялось»._x000D_
Указывается информация о случаях ограничения подачи тепловой энергии потребителям в случаях, предусмотренных законодательством в сфере теплоснабжения._x000D_
В неоднократных ограничений подачи потребления тепловой энергии потребителями информация по каждому случаю указывается отдельно.</t>
  </si>
  <si>
    <t>Добавить ограничение подачи ТЭ</t>
  </si>
  <si>
    <t>4.0</t>
  </si>
  <si>
    <t>Сведения об основаниях прекращения подачи тепловой энергии потребителям</t>
  </si>
  <si>
    <t>В случае, если прекращения подачи тепловой энергии потребителям не происходили, в колонке «Информация» указывается «Не осуществлялось»._x000D_
Указывается информация о случаях прекращения подачи тепловой энергии потребителям, предусмотренных законодательством в сфере теплоснабжения._x000D_
В случае нескольких прекращений подачи тепловой энергии потребителям информация по каждому случаю указывается отдельно.</t>
  </si>
  <si>
    <t>Добавить прекращение подачи ТЭ</t>
  </si>
  <si>
    <r>
      <t>Форма 4.10.1 Информация о предложении регулируемой организацией об установлении тарифов в сфере теплоснабжения на очередной период регулирования</t>
    </r>
    <r>
      <rPr>
        <vertAlign val="superscript"/>
        <sz val="10"/>
        <rFont val="Tahoma"/>
        <family val="2"/>
        <charset val="204"/>
      </rPr>
      <t>1</t>
    </r>
  </si>
  <si>
    <t>Описание параметров -&gt;</t>
  </si>
  <si>
    <t>Период действия тарифов</t>
  </si>
  <si>
    <t>по</t>
  </si>
  <si>
    <t>Копия инвестиционной программы, утвержденной в установленном законодательством Российской Федерации порядке, а до ее утверждения копия проекта инвестиционной программы</t>
  </si>
  <si>
    <t>Заполняется в случае наличия инвестиционной программы (проекта инвестиционной программы) в отчетном периоде._x000D_
В колонке «Информация» указывается наименование инвестиционной программы._x000D_
В колонке «Ссылка на документ» указывается ссылка на документ, предварительно загруженный в хранилище файлов ФГИС ЕИАС.</t>
  </si>
  <si>
    <t>Предлагаемый метод регулирования</t>
  </si>
  <si>
    <t>Значение в колонке «Вид тарифа» выбирается из перечня видов тарифов в сфере теплоснабжения, предусмотренных законодательством в сфере теплоснабжения._x000D_
Значение в колонке «Информация» выбирается из перечня: Метод экономически обоснованных расходов (затрат); Метод индексации установленных тарифов; Метод обеспечения доходности инвестированного капитала; Метод сравнения аналогов._x000D_
Даты начала и окончания периода действия тарифов указывается в виде «ДД.ММ.ГГГГ»._x000D_
В случае дифференциации предлагаемых методов регулирования видам тарифов и (или) по периодам действия тарифов информация по каждому из них указывается в отдельной строке.</t>
  </si>
  <si>
    <t>Добавить ВТ</t>
  </si>
  <si>
    <t>Долгосрочные параметры регулирования (в случае если их установление предусмотрено выбранным методом регулирования)</t>
  </si>
  <si>
    <t>Долгосрочные параметры регулирования указываются в случае выбора любого метода регулирования за исключением метода экономически обоснованных затрат в виде ссылки на документ, предварительно загруженный в хранилище файлов ФГИС ЕИАС.</t>
  </si>
  <si>
    <t>Необходимая валовая выручка на соответствующий период, в том числе с разбивкой по годам</t>
  </si>
  <si>
    <t>Значение в колонке «Вид тарифа» выбирается из перечня видов тарифов в сфере теплоснабжения, предусмотренных законодательством в сфере теплоснабжения._x000D_
Даты начала и окончания периода действия тарифов указывается в виде «ДД.ММ.ГГГГ»._x000D_
Величина необходимой валовой выручки указывается в колонке «Информация» в тыс. руб._x000D_
В случае дифференциации необходимой валовой выручки по видам тарифов и (или) по периодам действия тарифов информация указывается в отдельных строках.</t>
  </si>
  <si>
    <t>Годовой объем полезного отпуска тепловой энергии (теплоносителя)</t>
  </si>
  <si>
    <t>Значение в колонке «Вид тарифа» выбирается из перечня видов тарифов в сфере теплоснабжения, предусмотренных законодательством в сфере теплоснабжения_x000D_
Даты начала и окончания периода действия тарифов указывается в виде «ДД.ММ.ГГГГ»._x000D_
Величина годового объема полезного отпуска тепловой энергии (теплоносителя) указывается в колонке «Информация» в тыс. Гкал._x000D_
В случае дифференциации объема полезного отпуска тепловой энергии (теплоносителя) по видам тарифов и (или) по периодам действия тарифов информация указывается в отдельных строках.</t>
  </si>
  <si>
    <t xml:space="preserve">Размер недополученных доходов регулируемой организацией (при их наличии), исчисленный в соответствии с Основами ценообразования в сфере теплоснабжения, утвержденными постановлением Правительства Российской Федерации от 22 октября 2012 г. N 1075 "О ценообразовании в сфере теплоснабжения" </t>
  </si>
  <si>
    <t>Значение в колонке «Вид тарифа» выбирается из перечня видов тарифов в сфере теплоснабжения, предусмотренных законодательством в сфере теплоснабжения._x000D_
Даты начала и окончания периода действия тарифов указывается в виде «ДД.ММ.ГГГГ»._x000D_
Величина недополученных доходов регулируемой организации указывается в колонке «Информация» в тыс. руб. _x000D_
В случае отсутствия недополученных доходов регулируемой организацией, исчисленных в соответствии с законодательством в сфере теплоснабжения, указывается значение 0._x000D_
В случае дифференциации недополученных доходов регулируемой организацией по видам тарифов и (или) по периодам действия тарифов информация указывается в отдельных строках.</t>
  </si>
  <si>
    <t>Размер экономически обоснованных расходов, не учтенных при установлении регулируемых цен (тарифов) в предыдущий период регулирования (при их наличии), определенном в соответствии с законодательством в сфере теплоснабжения</t>
  </si>
  <si>
    <t>7.1</t>
  </si>
  <si>
    <t>Значение в колонке «Вид тарифа» выбирается из перечня видов тарифов в сфере теплоснабжения, предусмотренных законодательством в сфере теплоснабжения._x000D_
Даты начала и окончания периода действия тарифов указывается в виде «ДД.ММ.ГГГГ»._x000D_
Величина экономически обоснованных расходов, не учтенных при регулировании тарифов в предыдущий период регулирования, указывается в колонке «Информация» в тыс. руб. _x000D_
В случае отсутствия экономически обоснованных расходов, не учтенных при регулировании тарифов в предыдущий период регулирования, определенных в соответствии с законодательством в сфере теплоснабжения, указывается значение 0._x000D_
В случае дифференциации экономически обоснованных расходов по видам тарифов и (или) по периодам действия тарифов информация указывается в отдельных строках.</t>
  </si>
  <si>
    <t>При размещении информации по данной форме дополнительно указывается дата подачи заявления об утверждении тарифа и его номер.</t>
  </si>
  <si>
    <t>Наименование централизованной системы холодного водоснабжения</t>
  </si>
  <si>
    <t>Указывается наименование централизованной системы холодного водоснабжения при наличии дифференциации тарифа по централизованным системам холодного водоснабжения._x000D_
В случае дифференциации тарифов по централизованным системам холодного водоснабжения информация по ним указывается в отдельных строках.</t>
  </si>
  <si>
    <t>Наименование признака дифференциации</t>
  </si>
  <si>
    <t>Указывается наименование дополнительного признака дифференциации (при наличии)._x000D_
Дифференциация тарифа осуществляется в соответствии с законодательством в сфере водоснабжения и водоотведения._x000D_
В случае дифференциации тарифов по дополнительным признакам информация по ним указывается в отдельных строках.</t>
  </si>
  <si>
    <t>Указывается группа потребителей при наличии дифференциации тарифа по группам потребителей._x000D_
Значение выбирается из перечня:_x000D_
  - Организации-перепродавцы;_x000D_
  - Бюджетные организации;_x000D_
  - Население;_x000D_
  - Прочие;_x000D_
  - Без дифференциации._x000D_
В случае дифференциации тарифов по группам потребителей информация по ним указывается в отдельных строках.</t>
  </si>
  <si>
    <t>Добавить значение признака дифференциации</t>
  </si>
  <si>
    <t>В случае наличия нескольких значений признака дифференциации тарифов информация по ним указывается в отдельных строках._x000D_
В случае дифференциации тарифов по периодам действия тарифа информация по ним указывается в отдельных колонках.</t>
  </si>
  <si>
    <t>Добавить наименование признака дифференциации</t>
  </si>
  <si>
    <t>Одноставочный тариф</t>
  </si>
  <si>
    <t>NUM_FLAG_DIFF</t>
  </si>
  <si>
    <t>NUM_DATA_DIFF</t>
  </si>
  <si>
    <t>Одноставочный тариф,_x000D_
руб./куб. м</t>
  </si>
  <si>
    <t>ставка платы за объем поданной воды,_x000D_
руб./куб. м</t>
  </si>
  <si>
    <t>ставка платы за содержание мощности,_x000D_
руб./куб. м в час</t>
  </si>
  <si>
    <t>pt_ist_te_9</t>
  </si>
  <si>
    <t>Для каждого вида тарифа в сфере холодного водоснабжения форма заполняется отдельно. При размещении информации по данной форме дополнительно указываются сведения: наименование органа регулирования тарифов, принявшего решение об установлении тарифа, реквизиты (дата и номер) решения об установлении тарифа, источник официального опубликования решения об установлении тарифа.</t>
  </si>
  <si>
    <t>Для каждого вида тарифа в сфере холодного водоснабжения форма заполняется отдельно. При размещении информации по данной форме дополнительно указывается дата подачи заявления об утверждении тарифа и его номер.</t>
  </si>
  <si>
    <t>pt_ist_te_10</t>
  </si>
  <si>
    <t>pt_ist_te_11</t>
  </si>
  <si>
    <t>pt_ist_te_12</t>
  </si>
  <si>
    <t>В колонке "Параметр дифференциации тарифа/Заявитель" указывается наименование категории потребителей/заявителя, к которой относится тариф._x000D_
Даты начала и окончания указываются в виде "ДД.ММ.ГГГГ"._x000D_
В случае отсутствия даты окончания тарифа в колонке "Дата окончания" указывается "Нет"._x000D_
В случае дифференциации по категориям потребителей/заявителям, подключаемой нагрузке, диапазону диаметров, протяженности, условиям прокладки водопроводной сети информация по ним указывается в отдельных строках._x000D_
В случае дифференциации тарифов по периодам действия тарифа информация по ним указывается в отдельных колонках.</t>
  </si>
  <si>
    <t>Добавить условия прокладки сетей</t>
  </si>
  <si>
    <t>Добавить протяженность водопроводной сети</t>
  </si>
  <si>
    <t>Добавить диапазон диаметров водопроводной сети</t>
  </si>
  <si>
    <t>Добавить подключаемую нагрузку</t>
  </si>
  <si>
    <t>DIAMETERS_2</t>
  </si>
  <si>
    <t>Параметр дифференциации тарифа/Заявитель/Наименование объекта/Адрес</t>
  </si>
  <si>
    <t>Подключаемая нагрузка водопроводной сети,_x000D_
куб. м/сут</t>
  </si>
  <si>
    <t>Диапазон диаметров водопроводной сети,_x000D_
мм</t>
  </si>
  <si>
    <t>Протяженность водопроводной сети,_x000D_
км</t>
  </si>
  <si>
    <t>Условия прокладки сетей</t>
  </si>
  <si>
    <t>Ставка тарифа за подключаемую нагрузку водопроводной сети,_x000D_
тыс. руб./куб. м в сутки</t>
  </si>
  <si>
    <t>Ставка тарифа за протяженность водопроводной сети диаметром d,_x000D_
тыс. руб./км</t>
  </si>
  <si>
    <t>Срок действия тарифов</t>
  </si>
  <si>
    <t>pt_ist_te_13</t>
  </si>
  <si>
    <t>При размещении информации по данной форме дополнительно указываются сведения: наименование органа регулирования тарифов, принявшего решение об утверждении установлении тарифа, реквизиты (дата и номер) решения документа об утверждении установлении тарифа, источник официального опубликования решения об установлении тарифа.</t>
  </si>
  <si>
    <t>vt</t>
  </si>
  <si>
    <t>В колонке «Наименование параметра» указывается вид приобретаемого топлива._x000D_
Если приобретается несколько видов топлива, то информация по каждому из них указывается отдельно.</t>
  </si>
  <si>
    <t>общая стоимость</t>
  </si>
  <si>
    <t>объём</t>
  </si>
  <si>
    <t>В колонке «Единица измерения» указываются единицы измерения объема приобретаемого топлива._x000D_
В колонке «Информация» указывается величина объема приобретаемого топлива.</t>
  </si>
  <si>
    <t>стоимость за единицу объёма</t>
  </si>
  <si>
    <t>тыс. руб.</t>
  </si>
  <si>
    <t>стоимость доставки</t>
  </si>
  <si>
    <t>способ приобретения</t>
  </si>
  <si>
    <t>Указываются прочие расходы, которые подлежат отнесению на регулируемые виды деятельности в соответствии с законодательством.</t>
  </si>
  <si>
    <t>Указывается установленная тепловая мощность для источника тепловой энергии.</t>
  </si>
  <si>
    <t>Указывается показатель использования по производственному объекту как процент объем перекачки по отношению к пиковому дню отчетного года.</t>
  </si>
  <si>
    <t>кг у. т./Гкал</t>
  </si>
  <si>
    <t>Указывается норматив удельного расхода условного топлива при производстве тепловой энергии источниками тепловой энергии для отдельного источника тепловой энергии.</t>
  </si>
  <si>
    <t>кг усл. топл./Гкал</t>
  </si>
  <si>
    <t>Указывается фактический удельный расход условного топлива при производстве тепловой энергии источниками тепловой энергии для отдельного источника тепловой энергии.</t>
  </si>
  <si>
    <t>p</t>
  </si>
  <si>
    <t>HEAT_P1</t>
  </si>
  <si>
    <t>Добавить вид топлива</t>
  </si>
  <si>
    <t>HOTVSNA_P1</t>
  </si>
  <si>
    <t>тыс. кВт·ч</t>
  </si>
  <si>
    <t>HEAT_P6</t>
  </si>
  <si>
    <t>NOT_HOTVSNA</t>
  </si>
  <si>
    <t>NOT_HEAT_P1</t>
  </si>
  <si>
    <t>Прочие расходы</t>
  </si>
  <si>
    <t>Добавить прочие расходы</t>
  </si>
  <si>
    <t>HEAT_P2</t>
  </si>
  <si>
    <t>NOT_HEAT_P2</t>
  </si>
  <si>
    <t>https://portal.eias.ru/Portal/DownloadPage.aspx?type=12&amp;guid=aae6340c-519a-44a4-a13a-d7a6a8f11a3a</t>
  </si>
  <si>
    <t>COLDVSNA_P1</t>
  </si>
  <si>
    <t>тыс. куб. м</t>
  </si>
  <si>
    <t>HOTVSNA_P2</t>
  </si>
  <si>
    <t>VOTV_P1</t>
  </si>
  <si>
    <t>HEAT_P3</t>
  </si>
  <si>
    <t>В случае наличия нескольких источников тепловой энергии установленная тепловая мощность по каждому из них указывается в отдельных строках.</t>
  </si>
  <si>
    <t>hyp</t>
  </si>
  <si>
    <t>тыс. Гкал/год</t>
  </si>
  <si>
    <t>человек</t>
  </si>
  <si>
    <t>HEAT_P4</t>
  </si>
  <si>
    <t>VSNA</t>
  </si>
  <si>
    <t>тыс. кВт·ч на тыс. куб. м</t>
  </si>
  <si>
    <t>COLDVSNA_P2</t>
  </si>
  <si>
    <t>Добавить производственный объект</t>
  </si>
  <si>
    <t>В случае наличия нескольких производственных объектов информация по каждому из них указывается в отдельной строке.</t>
  </si>
  <si>
    <t>HEAT_P5</t>
  </si>
  <si>
    <t>В случае наличия нескольких источников тепловой энергии норматив удельного расхода условного топлива по каждому из них указывается в отдельных строках.</t>
  </si>
  <si>
    <t>В случае наличия нескольких источников тепловой энергии фактический удельный расход условного топлива по каждому из них указывается в отдельных строках.</t>
  </si>
  <si>
    <t>тыс. кВт.ч/Гкал</t>
  </si>
  <si>
    <t>куб.м/Гкал</t>
  </si>
  <si>
    <t>Способ приобретения</t>
  </si>
  <si>
    <t>Реквизиты договора</t>
  </si>
  <si>
    <t>Наименование товара/услуги</t>
  </si>
  <si>
    <t>Объем приобретенных товаров, услуг</t>
  </si>
  <si>
    <t>Единица измерения объема</t>
  </si>
  <si>
    <t>Стоимость, тыс. руб.</t>
  </si>
  <si>
    <t>Доля расходов, % (от суммы расходов по указанной статье)</t>
  </si>
  <si>
    <t>Указываются прочие расходы, которые подлежат отнесению на регулируемые виды деятельности в соответствии с законодательством в области обращения с твёрдыми коммунальными отходами.</t>
  </si>
  <si>
    <t>Форма 6. Информация об основных показателях финансово-хозяйственной деятельности организации _x000D_
в части регулируемых видов деятельности за отчетный год</t>
  </si>
  <si>
    <t>Выручка от регулируемого вида деятельности</t>
  </si>
  <si>
    <t xml:space="preserve">Указывается выручка от регулируемого вида деятельности </t>
  </si>
  <si>
    <t>p3</t>
  </si>
  <si>
    <t>Себестоимость оказываемых услуг по обращению с твёрдыми коммунальными отходами по регулируемому виду деятельности, включая:</t>
  </si>
  <si>
    <t xml:space="preserve">Указывается суммарная себестоимость </t>
  </si>
  <si>
    <t>производственные расходы, в том числе:</t>
  </si>
  <si>
    <t>Указывается общая сумма производственных расходов.</t>
  </si>
  <si>
    <t>расходы на оплату труда основного производственного персонала</t>
  </si>
  <si>
    <t>Указывается общая сумма расходов на оплату труда и страховых взносов производственного персонала.</t>
  </si>
  <si>
    <t>2.1.2</t>
  </si>
  <si>
    <t>страховые взносы на обязательное социальное страхование, выплачиваемые из фонда оплаты труда основного производственного персонала</t>
  </si>
  <si>
    <t>ремонтные расходы, включая:</t>
  </si>
  <si>
    <t>Указывается общая сумма ремонтных расходов</t>
  </si>
  <si>
    <t>расходы на текущий ремонт</t>
  </si>
  <si>
    <t>расходы на капитальный ремонт</t>
  </si>
  <si>
    <t>административные расходы, в том числе:</t>
  </si>
  <si>
    <t>Указывается общая сумма расходов на оплату труда и страховых взносов административно-управленческого персонала</t>
  </si>
  <si>
    <t>расходы на оплату труда</t>
  </si>
  <si>
    <t xml:space="preserve">страховые взносы на обязательное социальное страхование, выплачиваемые из фонда оплаты труда административно-управленческого персонала </t>
  </si>
  <si>
    <t>расходы на амортизацию основных средств и нематериальных активов:</t>
  </si>
  <si>
    <t>Указывается общая сумма расходов на амортизацию основных средства и нематериальных активов</t>
  </si>
  <si>
    <t>расходы на амортизацию основных средств</t>
  </si>
  <si>
    <t>расходы на амортизацию нематериальных активов</t>
  </si>
  <si>
    <t>расходы на арендную плату</t>
  </si>
  <si>
    <t>расходы на лизинговые платежи</t>
  </si>
  <si>
    <t xml:space="preserve"> расходы на концессионную плату</t>
  </si>
  <si>
    <t>прочие расходы, которые подлежат отнесению на регулируемые виды деятельности, в том числе:</t>
  </si>
  <si>
    <t>Указывается общая сумма прочих расходов, которые подлежат отнесению на регулируемые виды деятельности в соответствии с законодательством в области обращения с твёрдыми коммунальными отходами.</t>
  </si>
  <si>
    <t>В случае наличия нескольких видов прочих расходов информация указывается в отдельных строках.</t>
  </si>
  <si>
    <t>расходы на транспортирование твёрдых коммунальных отходов</t>
  </si>
  <si>
    <t>Указывается сумма расходов на оплату выполняемых сторонними организациями услуг, связанных с осуществлением деятельности по транспортированию твёрдых коммунальных отходов в соответствии с договорами, заключенными региональным оператором с операторами, осуществляющими транспортирование твёрдых коммунальных отходов, при самостоятельном транспортировании твёрдых коммунальных отходов региональным оператором (при их наличии).</t>
  </si>
  <si>
    <t>Чистая прибыль с разбивкой по регулируемым видам деятельности, в том числе:</t>
  </si>
  <si>
    <t>размер расходования чистой прибыли на финансирование мероприятий, предусмотренных инвестиционной программой</t>
  </si>
  <si>
    <t>изменение стоимости основных фондов за счет их ввода в эксплуатацию (вывода из эксплуатации)</t>
  </si>
  <si>
    <t>Указываются общее изменение стоимости основных фондов за счет их ввода в эксплуатацию (вывода из эксплуатации).</t>
  </si>
  <si>
    <t>изменение стоимости основных фондов за счет их ввода в эксплуатацию</t>
  </si>
  <si>
    <t>изменение стоимости основных фондов за счет их вывода в эксплуатацию</t>
  </si>
  <si>
    <t>4.1.3</t>
  </si>
  <si>
    <t>изменение стоимости основных фондов за счет их переоценки</t>
  </si>
  <si>
    <t>Указываются изменение стоимости основных фондов за счет их переоценки.</t>
  </si>
  <si>
    <t>-</t>
  </si>
  <si>
    <t>Указывается ссылка на документ, предварительно загруженный в хранилище файлов ФГИС ЕИАС._x000D_
Раскрывается организацией, выручка от регулируемых видов деятельности которой превышает 80 процентов совокупной выручки за отчетный год.</t>
  </si>
  <si>
    <t>Объём принятых твёрдых коммунальных отходов</t>
  </si>
  <si>
    <t>тыс. куб. м_x000D_
в год</t>
  </si>
  <si>
    <t>Указание объема принятых твёрдых коммунальных отходов необязательно при указании массы принятых твёрдых коммунальных отходов.</t>
  </si>
  <si>
    <t>Масса принятых твёрдых коммунальных отходов</t>
  </si>
  <si>
    <t>тонн в год</t>
  </si>
  <si>
    <t>Указание массы принятых твёрдых коммунальных отходов необязательно при указании объёма принятых твёрдых коммунальных отходов.</t>
  </si>
  <si>
    <t>Среднесписочная численность основного персонала</t>
  </si>
  <si>
    <t>Форма 7. Информация об основных показателях финансово-хозяйственной деятельности организации в отношении деятельности по транспортированию твёрдых коммунальных отходов за отчетный год &lt;1&gt;</t>
  </si>
  <si>
    <t>Выручка от деятельности</t>
  </si>
  <si>
    <t>Указывается выручка от деятельности</t>
  </si>
  <si>
    <t>Себестоимость оказываемых услуг по регулируемому виду деятельности, включая:</t>
  </si>
  <si>
    <t>Указывается суммарная себестоимость</t>
  </si>
  <si>
    <t>расходы на оплату труда и страховые взносы на обязательное социальное страхование, выплачиваемые из фонда оплаты труда</t>
  </si>
  <si>
    <t>Указывается общая сумма расходов на оплату труда и страховых взносов</t>
  </si>
  <si>
    <t xml:space="preserve">расходы на оплату труда </t>
  </si>
  <si>
    <t xml:space="preserve">страховые взносы на обязательное социальное страхование, выплачиваемые из фонда оплаты труда </t>
  </si>
  <si>
    <t>расходы на топливо и горюче-смазочные материалы для транспортных средств, используемых для транспортирования твёрдых коммунальных отходов</t>
  </si>
  <si>
    <t>расходы на сырье и материалы для текущего технического обслуживания транспортных средств, используемых для транспортирования твёрдых коммунальных отходов</t>
  </si>
  <si>
    <t>ремонтные расходы и расходы на техническое обслуживание в отношении транспортных средств, используемых для транспортирования твёрдых коммунальных отходов (за исключением расходов, указанных в пункте 2.3 данной формы)</t>
  </si>
  <si>
    <t>расходы на амортизацию транспортных средств, используемых для транспортирования твёрдых коммунальных отходов</t>
  </si>
  <si>
    <t>расходы на арендную плату и лизинговые платежи в отношении транспортных средств, используемых для транспортирования твёрдых коммунальных отходов</t>
  </si>
  <si>
    <t>административные расходы (за исключением расходов, предусмотренных пунктами 2.1 и 2.8 данной формы)</t>
  </si>
  <si>
    <t>расходы, связанные с оплатой налогов, сборов и других обязательных платежей (в том числе с обязательным страхованием гражданской ответственности владельцев транспортных средств, оснащением и обеспечением функционирования аппаратуры спутниковой навигации ГЛОНАСС или ГЛОНАСС/GPS)</t>
  </si>
  <si>
    <t>прочие расходы</t>
  </si>
  <si>
    <t>Чистая прибыль в отношении деятельности по транспортированию твёрдых коммунальных отходов</t>
  </si>
  <si>
    <t>Изменение стоимости основных фондов (транспортных средств, используемых для транспортирования твёрдых коммунальных отходов), в том числе:</t>
  </si>
  <si>
    <t>Указывается общее изменение стоимости основных фондов за счет их ввода в эксплуатацию (вывода из эксплуатации), переоценки.</t>
  </si>
  <si>
    <t>Указывается изменение стоимости основных фондов за счет их ввода в эксплуатацию.</t>
  </si>
  <si>
    <t>изменение стоимости основных фондов за счет их вывода из эксплуатации</t>
  </si>
  <si>
    <t>Указывается изменение стоимости основных фондов за счет их вывода из эксплуатации.</t>
  </si>
  <si>
    <t>Указывается изменение стоимости основных фондов за счет их переоценки.</t>
  </si>
  <si>
    <t>Указывается ссылка на документ, предварительно загруженный в хранилище файлов ФГИС ЕИАС._x000D_
Раскрывается организацией, выручка от деятельности по транспортированию твёрдых коммунальных отходов которой превышает 80 процентов совокупной выручки за отчетный год.</t>
  </si>
  <si>
    <t>Объём принятых для транспортирования твёрдых коммунальных отходов</t>
  </si>
  <si>
    <t>Масса принятых для транспортирования твёрдых коммунальных отходов</t>
  </si>
  <si>
    <t>В 2023 году операторы по обращению с твёрдыми коммунальными отходами, осуществляющие деятельность по транспортированию твёрдых коммунальных отходов, раскрывают в данной форме информацию, сформированную на дату раскрытия информации.</t>
  </si>
  <si>
    <t>В случае, если оператор по обращению с твёрдыми коммунальными отходами, осуществляющий деятельность по транспортированию твёрдых коммунальных отходов, обеспечивает транспортирование твёрдых коммунальных отходов в разных зонах деятельности регионального оператора, на разных территориях в пределах одной зоны деятельности регионального оператора, то информация раскрывается по каждой зоне деятельности регионального оператора, по каждой территории в пределах зоны деятельности регионального оператора.</t>
  </si>
  <si>
    <t>Информация, подлежащая раскрытию</t>
  </si>
  <si>
    <t>Информация в данной строке раскрывается только единой теплоснабжающей организацией в ценовых зонах теплоснабжения (обобщенная информация о количестве составленных актов, подтверждающих факт превышения разрешенных отклонений значений параметров, о средней продолжительности устранения превышения разрешенных отклонений значений параметров, о совокупной величине снижения размера платы за тепловую энергию (мощность) потребителям в связи с превышением разрешенных отклонений значений параметров)</t>
  </si>
  <si>
    <t>Показатели надежности и энергетической эффективности, установленные в соответствии с законодательством Российской Федерации</t>
  </si>
  <si>
    <t>В колонке «Ссылка на документ» указывается материал в виде ссылки на документ, содержащий информацию об установленных показателях, предварительно загруженный в хранилище данных ФГИС ЕИАС._x000D_
В случае, если показатели не утверждены в колонке «Информация» указывается «Не утверждены»._x000D_
Информация в данной строке не раскрывается единой теплоснабжающей организацией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t>
  </si>
  <si>
    <t>Плановые показатели надежности объектов теплоснабжения</t>
  </si>
  <si>
    <t>количество прекращений подачи тепловой энергии, теплоносителя в результате технологических нарушений на тепловых сетях на 1 км тепловых сетей</t>
  </si>
  <si>
    <t>ед.в год/км</t>
  </si>
  <si>
    <t>количество прекращений подачи тепловой энергии, теплоносителя в результате технологических нарушений на источниках тепловой энергии на 1 Гкал/час установленной мощности</t>
  </si>
  <si>
    <t xml:space="preserve"> ед.в год/Гкал/час</t>
  </si>
  <si>
    <t xml:space="preserve">Плановые показатели энергетической эффективности объектов теплоснабжения </t>
  </si>
  <si>
    <t>4.2.1</t>
  </si>
  <si>
    <t>удельный расход топлива на производство единицы тепловой энергии, отпускаемой с коллекторов источников тепловой энергии</t>
  </si>
  <si>
    <t>т.у.т./Гкал</t>
  </si>
  <si>
    <t>4.2.2</t>
  </si>
  <si>
    <t>отношение величины технологических потерь к материальной характеристике тепловой сети</t>
  </si>
  <si>
    <t>4.2.1.1</t>
  </si>
  <si>
    <t>при передаче тепловой энергии</t>
  </si>
  <si>
    <t>Гкал/кв.м</t>
  </si>
  <si>
    <t>4.2.1.2</t>
  </si>
  <si>
    <t>при передаче теплоносителя</t>
  </si>
  <si>
    <t>тонн/кв.м</t>
  </si>
  <si>
    <t>4.2.3</t>
  </si>
  <si>
    <t>величина технологических потерь</t>
  </si>
  <si>
    <t>4.2.3.1</t>
  </si>
  <si>
    <t>Гкал/год</t>
  </si>
  <si>
    <t>4.2.3.2</t>
  </si>
  <si>
    <t>при передаче теплоносителя по тепловым сетям</t>
  </si>
  <si>
    <t>тонн/год</t>
  </si>
  <si>
    <t>Доля исполненных в срок договоров о подключении (технологическом присоединении) к системе теплоснабжения</t>
  </si>
  <si>
    <t>Указывается процент от общего количества заключенных договоров о подключении (технологическом присоединении) к системе теплоснабжения._x000D_
_x000D_
Единой теплоснабжающей организацией указывается доля числа исполненных в срок договоров о подключении (технологическом присоединении) к системе теплоснабжения в зоне ее деятельности в ценовых зонах теплоснабжения (процентов общего количества заключенных договоров о подключении (технологическом присоединении) к системе теплоснабжения._x000D_
Информация в данной строке не раскрывается теплоснабжающей организацией в ценовых зонах теплоснабжения и теплосетевой организацией в ценовых зонах теплоснабжения</t>
  </si>
  <si>
    <t>Средняя продолжительность рассмотрения заявок на заключение договоров о подключении (технологическом присоединении) к системе теплоснабжения</t>
  </si>
  <si>
    <t>Единой теплоснабжающей организацией информация раскрывается в зоне ее деятельности в ценовых зонах теплоснабжения_x000D_
Информация в данной строке не раскрывается теплоснабжающей организацией в ценовых зонах теплоснабжения и теплосетевой организацией в ценовых зонах теплоснабжения.</t>
  </si>
  <si>
    <t xml:space="preserve">Едиными теплоснабжающими организациями, теплоснабжающими и теплосетевыми организациями в ценовых зонах теплоснабжения указывается информация об основных потребительских </t>
  </si>
  <si>
    <t>характеристиках товаров и услуг, поставляемых и оказываемых этими организациями в ценовых зонах теплоснабжения.</t>
  </si>
  <si>
    <t>Количество аварий на системах холодного водоснабжения</t>
  </si>
  <si>
    <t>Указывается количество любых нарушений функционирования системы холодного водоснабжения в расчете на один километр трубопровода.</t>
  </si>
  <si>
    <t>Количество случаев временного ограничения холодного водоснабжения по графику</t>
  </si>
  <si>
    <t>количество случаев ограничения холодного водоснабжения по графику для ограничений сроком менее 24 часов в сутки</t>
  </si>
  <si>
    <t>ед.</t>
  </si>
  <si>
    <t>Указывается суммарное количество ограничения холодного водоснабжения по графику в течение отчетного периода. В расчет принимаются ограничения сроком менее 24 часов каждое.</t>
  </si>
  <si>
    <t>срок действия ограничений холодного водоснабжения по графику для ограничений сроком менее 24 часов в сутки</t>
  </si>
  <si>
    <t>ч</t>
  </si>
  <si>
    <t>Указывается сумма времени ограничения холодного водоснабжения по графику в течение отчетного периода. В расчет принимаются ограничения сроком менее 24 часов каждое.</t>
  </si>
  <si>
    <t>Доля потребителей, в отношении которых ограничено холодное водоснабжение:</t>
  </si>
  <si>
    <t>доля потребителей, в отношении которых ограничено холодное водоснабжение сроком менее 24 часов в сутки</t>
  </si>
  <si>
    <t>Указывается отношение количества потребителей, затронутых как минимум одним ограничением подачи холодной воды по графику длительностью менее 24 часа в течение отчетного периода, и суммарного количества обслуживаемых потребителей.</t>
  </si>
  <si>
    <t>доля потребителей, в отношении которых ограничено холодное водоснабжение сроком 24 часа в сутки и более</t>
  </si>
  <si>
    <t>Указывается отношение количества потребителей, затронутых как минимум одним ограничением подачи холодной воды по графику длительностью 24 часа и более в течение отчетного периода, и суммарного количества обслуживаемых потребителей.</t>
  </si>
  <si>
    <t>Общее количество отобранных проб питьевой воды по следующим показателям</t>
  </si>
  <si>
    <t>мутность</t>
  </si>
  <si>
    <t>цветность</t>
  </si>
  <si>
    <t>хлор остаточный общий, в том числе:</t>
  </si>
  <si>
    <t>4.3.1</t>
  </si>
  <si>
    <t>хлор остаточный связанный</t>
  </si>
  <si>
    <t>4.3.2</t>
  </si>
  <si>
    <t>хлор остаточный свободный</t>
  </si>
  <si>
    <t>4.4</t>
  </si>
  <si>
    <t>общие колиформные бактерии</t>
  </si>
  <si>
    <t>4.5</t>
  </si>
  <si>
    <t>термотолерантные колиформные бактерии</t>
  </si>
  <si>
    <t>Количество отобранных проб питьевой воды, показатели которых не соответствуют нормативам качества питьевой воды в соответствии с санитарно-эпидемиологическими требованиями к питьевой воде (предельно допустимой концентрации в воде) по следующим показателям:</t>
  </si>
  <si>
    <t>5.3.2</t>
  </si>
  <si>
    <t>5.5</t>
  </si>
  <si>
    <t>Доля исполненных в срок договоров о подключении (технологическом присоединении) к централизованной системе холодного водоснабжения</t>
  </si>
  <si>
    <t>Указывается процент общего количества заключенных договоров о подключении (технологическом присоединении) к централизованной системе холодного водоснабжения.</t>
  </si>
  <si>
    <t>Средняя продолжительность рассмотрения заявлений о заключении договоров о подключении (технологическом присоединении) к централизованной системе холодного водоснабжения</t>
  </si>
  <si>
    <t>О результатах технического обследования централизованных систем холодного водоснабжения, в том числе:</t>
  </si>
  <si>
    <t>8.1</t>
  </si>
  <si>
    <t>о фактических значениях показателей технико-экономического состояния централизованных систем холодного водоснабжения, включая значения показателей физического износа и энергетической эффективности объектов централизованных систем холодного водоснабжения.</t>
  </si>
  <si>
    <t>Количество аварий на системах горячего водоснабжения</t>
  </si>
  <si>
    <t>Указывается количество нарушений функционирования системы горячего водоснабжения в расчете на один километр трубопровода.</t>
  </si>
  <si>
    <t>Количество часов (суммарно за календарный год), превышающих установленную продолжительность временного прекращения или ограничения горячего водоснабжения, и доля потребителей (процентов), в отношении которых было осуществлено временное прекращение или ограничение горячего водоснабжения</t>
  </si>
  <si>
    <t>количество часов (суммарно за календарный год), превышающих установленную продолжительность временного прекращения горячего водоснабжения</t>
  </si>
  <si>
    <t>количество часов (суммарно за календарный год), превышающих установленную продолжительность ограничения горячего водоснабжения</t>
  </si>
  <si>
    <t>доля потребителей, в отношении которых было осуществлено временное прекращение горячего водоснабжения</t>
  </si>
  <si>
    <t>доля потребителей, в отношении которых было осуществлено ограничение горячего водоснабжения</t>
  </si>
  <si>
    <t>Количество часов (суммарно за календарный год) отклонения показателей температуры подачи горячей воды от нормативных значений в точке разбора</t>
  </si>
  <si>
    <t>Доля исполненных в срок договоров о подключении (технологическом присоединении) к централизованной системе горячего водоснабжения (процентов общего количества заключенных договоров о подключении (технологическом присоединении) к централизованной системе горячего водоснабжения)</t>
  </si>
  <si>
    <t>Средняя продолжительность рассмотрения заявлений о заключении договоров о подключении (технологическом присоединении) к централизованной системе горячего водоснабжения</t>
  </si>
  <si>
    <t>О результатах технического обследования централизованных систем горячего водоснабжения, в том числе:</t>
  </si>
  <si>
    <t>о фактических значениях показателей технико-экономического состояния централизованных систем горячего водоснабжения, включая значения показателей физического износа и энергетической эффективности объектов централизованных систем горячего водоснабжения</t>
  </si>
  <si>
    <t>Показатели аварийности на канализационных сетях</t>
  </si>
  <si>
    <t>Указывается количество любых нарушений на канализационных сетях.</t>
  </si>
  <si>
    <t>Количество засоров на самотечных сетях</t>
  </si>
  <si>
    <t>Указывается количество засоров на самотечных сетях.</t>
  </si>
  <si>
    <t>Общее количество отобранных проб на сбросе очищенных (частично очищенных) сточных вод:</t>
  </si>
  <si>
    <t>Указывается суммарное количество проведенных проб на сбросе очищенных вод.</t>
  </si>
  <si>
    <t>взвешенные вещества</t>
  </si>
  <si>
    <t>БПК5</t>
  </si>
  <si>
    <t>аммоний-ион</t>
  </si>
  <si>
    <t>нитрит-анион</t>
  </si>
  <si>
    <t>3.5</t>
  </si>
  <si>
    <t>фосфаты (по Р)</t>
  </si>
  <si>
    <t>3.6</t>
  </si>
  <si>
    <t>нефтепродукты</t>
  </si>
  <si>
    <t>3.7</t>
  </si>
  <si>
    <t>микробиология</t>
  </si>
  <si>
    <t>Количество отобранных проб, показатели которых не соответствуют установленным нормативам состава сточных вод (предельно допустимой концентрации веществ и микроорганизмов) на сбросе очищенных (частично очищенных) сточных вод:</t>
  </si>
  <si>
    <t>Указывается суммарное количество отобранных проб, выявивших несоответствие очищенных сточных вод санитарным нормам (предельно допустимой концентрации) на сбросе очищенных (частично очищенных) сточных вод.</t>
  </si>
  <si>
    <t>4.6</t>
  </si>
  <si>
    <t>4.7</t>
  </si>
  <si>
    <t>Доля исполненных в срок договоров о подключении (технологическом присоединении) к централизованной системе водоотведения</t>
  </si>
  <si>
    <t>Указывается процент от общего количества заключенных договоров о подключении (технологическом присоединении) к централизованной системе водоотведения</t>
  </si>
  <si>
    <t>Средняя продолжительность рассмотрения заявлений о заключении договоров о подключении (технологическом присоединении) к централизованной системе водоотведения</t>
  </si>
  <si>
    <t>О результатах технического обследования централизованных систем водоотведения, в том числе:</t>
  </si>
  <si>
    <t>о фактических значениях показателей технико-экономического состояния централизованных систем водоотведения, включая значения показателей физического износа и энергетической эффективности объектов централизованных систем водоотведения</t>
  </si>
  <si>
    <t>О  нормативах допустимых сбросов загрязняющих веществ в составе сточных вод в водные объекты, установленных для объектов централизованных систем водоотведения, эксплуатируемых организацией водоотведения, в соответствии с законодательством Российской Федерации об охране окружающей среды (о лимитах на сбросы загрязняющих веществ, установленных для объектов централизованных систем водоотведения, эксплуатируемых организацией водоотведения, в соответствии с законодательством Российской Федерации об охране окружающей среды</t>
  </si>
  <si>
    <t>О показателях эффективности удаления загрязняющих веществ очистными сооружениями регулируемых организаций</t>
  </si>
  <si>
    <t>Информация об инвестиционных программах регулируемой организации и отчетах об их исполнении</t>
  </si>
  <si>
    <t>Наименование ИП</t>
  </si>
  <si>
    <t>Инвестиционная программа разбивается по мероприятиям и (или) группам мероприятий</t>
  </si>
  <si>
    <t>Дата утверждения инвестиционной программы</t>
  </si>
  <si>
    <t>Дата изменения инвестиционной программы</t>
  </si>
  <si>
    <t>Цель инвестиционной программы</t>
  </si>
  <si>
    <t>Наименование исполнительного органа субъекта Российской Федерации (органа местного самоуправления), утвердившего инвестиционную программу</t>
  </si>
  <si>
    <t>Наименование органа местного самоуправления, согласовавшего инвестиционную программу</t>
  </si>
  <si>
    <t>Период реализации инвестиционной программы</t>
  </si>
  <si>
    <t>Решение уполномоченного органа об утверждении инвестиционной программы</t>
  </si>
  <si>
    <t>Решение уполномоченного органа о внесении изменений, корректировке инвестиционной программы</t>
  </si>
  <si>
    <t>О наличии в инвестиционной программе мероприятий, включенных в концессионное(-ые) соглашение(-я)</t>
  </si>
  <si>
    <t>Дата начала</t>
  </si>
  <si>
    <t>Дата окончания</t>
  </si>
  <si>
    <t>Период реализации</t>
  </si>
  <si>
    <t>Вид</t>
  </si>
  <si>
    <t>Номер</t>
  </si>
  <si>
    <t>Дата принятия</t>
  </si>
  <si>
    <t>Тип</t>
  </si>
  <si>
    <t>Наличие</t>
  </si>
  <si>
    <t>Реквизиты концессионного(-ых) соглашения(-ий)</t>
  </si>
  <si>
    <t>ip_1</t>
  </si>
  <si>
    <t>Добавить инвестиционную программу</t>
  </si>
  <si>
    <t>Год реализации инвестиционной программы</t>
  </si>
  <si>
    <t>№ п/п_x000D_
мероприятия</t>
  </si>
  <si>
    <t>Группа, к которой относятся мероприятия инвестиционной программы</t>
  </si>
  <si>
    <t>Мероприятие</t>
  </si>
  <si>
    <t>№ источника</t>
  </si>
  <si>
    <t>О плановых и фактических размерах и источниках финансирования предусмотренных в утвержденной инвестиционной программе с распределением по годам</t>
  </si>
  <si>
    <t>Плановый срок реализации мероприятия и (или) группы мероприятий с распределением по годам</t>
  </si>
  <si>
    <t>Плановый срок ввода в эксплуатацию/выполнения мероприятия и (или) группы мероприятий</t>
  </si>
  <si>
    <t>Фактический срок реализации мероприятия и (или) группы мероприятий с распределением по годам</t>
  </si>
  <si>
    <t>Фактический срок ввода в эксплуатацию/выполнения мероприятия и (или) группы мероприятий</t>
  </si>
  <si>
    <t>Наименование мероприятия</t>
  </si>
  <si>
    <t>Входит в концессионное соглашение</t>
  </si>
  <si>
    <t>Объект инфраструктуры</t>
  </si>
  <si>
    <t>Признак</t>
  </si>
  <si>
    <t>Номер концессионного соглашения</t>
  </si>
  <si>
    <t>№ объекта</t>
  </si>
  <si>
    <t>Наименование объекта</t>
  </si>
  <si>
    <t>Тип объекта</t>
  </si>
  <si>
    <t>Адрес объекта</t>
  </si>
  <si>
    <t>План</t>
  </si>
  <si>
    <t>Факт</t>
  </si>
  <si>
    <t>в том числе</t>
  </si>
  <si>
    <t>Населенный пункт</t>
  </si>
  <si>
    <t>улица, проезд, проспект, переулок, и т.п.</t>
  </si>
  <si>
    <t>дом, корпус, строение</t>
  </si>
  <si>
    <t>Источник финансирования</t>
  </si>
  <si>
    <t>Размер финансирования</t>
  </si>
  <si>
    <t>месяц</t>
  </si>
  <si>
    <t>год</t>
  </si>
  <si>
    <r>
      <rPr>
        <vertAlign val="superscript"/>
        <sz val="9"/>
        <rFont val="Tahoma"/>
        <family val="2"/>
        <charset val="204"/>
      </rPr>
      <t>1</t>
    </r>
    <r>
      <rPr>
        <sz val="9"/>
        <rFont val="Tahoma"/>
        <family val="2"/>
        <charset val="204"/>
      </rPr>
      <t xml:space="preserve"> В соответствии с утвержденной инвестиционной программой</t>
    </r>
  </si>
  <si>
    <t>Финансовый план</t>
  </si>
  <si>
    <t>Источники финансирования</t>
  </si>
  <si>
    <t>Объем фактического выполнения за счет источников финансирования (тыс. руб. без НДС)</t>
  </si>
  <si>
    <t>Всего</t>
  </si>
  <si>
    <t>Расходы на мероприятия инвестиционной программы</t>
  </si>
  <si>
    <t>Собственные средства</t>
  </si>
  <si>
    <t>1.4</t>
  </si>
  <si>
    <t>1.5</t>
  </si>
  <si>
    <t>1.6</t>
  </si>
  <si>
    <t>1.7</t>
  </si>
  <si>
    <t>1.8</t>
  </si>
  <si>
    <t>1.9</t>
  </si>
  <si>
    <t>1.10</t>
  </si>
  <si>
    <t>1.11</t>
  </si>
  <si>
    <t>1.12</t>
  </si>
  <si>
    <t>Привлеченные средства</t>
  </si>
  <si>
    <t>Займы</t>
  </si>
  <si>
    <t>Бюджетное финансирование</t>
  </si>
  <si>
    <t>Плата концедента на строительство, модернизацию и (или) реконструкцию объекта концессионного соглашения в размере, предусмотренном заключенным концессионным соглашением</t>
  </si>
  <si>
    <t>Иные бюджетные средства.</t>
  </si>
  <si>
    <t>Прочие источники финансирования</t>
  </si>
  <si>
    <t>ИТОГО по программе</t>
  </si>
  <si>
    <t>Средства на возврат займов и кредитов, привлекаемых на реализацию мероприятий инвестиционной программы, а также на проценты по таким займам и кредитам*</t>
  </si>
  <si>
    <t>Cредства на возврат займов и кредитов, привлекаемых на реализацию мероприятий инвестиционной программ</t>
  </si>
  <si>
    <t>Финансируемые за счет нормативной прибыли, учитываемой в необходимой валовой выручке</t>
  </si>
  <si>
    <t>1.1.2</t>
  </si>
  <si>
    <t>1.1.3</t>
  </si>
  <si>
    <t>Иные собственные средства</t>
  </si>
  <si>
    <t>1.1.4</t>
  </si>
  <si>
    <t>Средства, полученные регулируемой организацией в виде платы за негативное воздействие абонентов на работу централизованной системы водоотведения</t>
  </si>
  <si>
    <t>1.2.2</t>
  </si>
  <si>
    <t xml:space="preserve">Прочие источники </t>
  </si>
  <si>
    <t>Cредства на проценты по займам и кредитам, привлекаемым на реализацию мероприятий инвестиционной программ</t>
  </si>
  <si>
    <t>2.1.3</t>
  </si>
  <si>
    <t>2.1.4</t>
  </si>
  <si>
    <t>WARM FEATURES</t>
  </si>
  <si>
    <t>OTKO FEATURES</t>
  </si>
  <si>
    <t>Цель(-и) ИП</t>
  </si>
  <si>
    <t>Способ утверждения показателей</t>
  </si>
  <si>
    <t>Описание способа утверждения показателей</t>
  </si>
  <si>
    <t>Показатели качества, надежности и бесперебойности, энергетической эффективности</t>
  </si>
  <si>
    <t>Показатели надежности</t>
  </si>
  <si>
    <t xml:space="preserve">Показатели энергетической эффективности </t>
  </si>
  <si>
    <t>Показатели качества питьевой воды</t>
  </si>
  <si>
    <t>Показатели качества горячей воды</t>
  </si>
  <si>
    <t>Показатели надежности и бесперебойности</t>
  </si>
  <si>
    <t>Показатели энергетической эффективности</t>
  </si>
  <si>
    <t>Показатели очистки сточных вод</t>
  </si>
  <si>
    <t>Показатель надежности и бесперебойности</t>
  </si>
  <si>
    <t>Количество прекращений подачи тепловой энергии, теплоносителя в результате технологических нарушений</t>
  </si>
  <si>
    <t>удельный расход топлива на производство единицы тепловой энергии</t>
  </si>
  <si>
    <t>Отношение величины технологических потерь к материальной характеристике тепловой сети</t>
  </si>
  <si>
    <t>Величина технологических потерь</t>
  </si>
  <si>
    <t>Доля проб питьевой воды, подаваемой с источников водоснабжения, водопроводных станций или иных объектов централизованной системы водоснабжения в распределительную водопроводную сеть, не соответствующих установленным требованиям, в общем объёме проб, отобранных по результатам производственного контроля качества питьевой воды</t>
  </si>
  <si>
    <t>Доля проб питьевой воды в распределительной водопроводной сети, не соответствующих установленным требованиям, в общем объёме проб, отобранных по результатам производственного контроля качества питьевой воды</t>
  </si>
  <si>
    <t>Доля проб горячей воды в тепловой сети или в сети горячего водоснабжения, не соответствующих установленным требованиям по температуре, в общем объёме проб, отобранных по результатам производственного контроля качества горячей воды</t>
  </si>
  <si>
    <t>Доля проб горячей воды в тепловой сети или в сети горячего водоснабжения, не соответствующих установленным требованиям (за исключением температуры), в общем объёме проб, отобранных по результатам производственного контроля качества горячей воды</t>
  </si>
  <si>
    <t xml:space="preserve"> Количество перерывов в подаче воды, зафиксированных в местах исполнения обязательств организацией, осуществляющей горячее водоснабжение, холодное водоснабжение, по подаче горячей воды, холодной воды, возникших в результате аварий, повреждений и иных технологических нарушений на объектах централизованной системы холодного водоснабжения, горячего водоснабжения, принадлежащих организации, осуществляющей горячее водоснабжение, холодное водоснабжение, в расчете на протяженность водопроводной сети</t>
  </si>
  <si>
    <t>Доля потерь воды в централизованных системах водоснабжения при транспортировке в общем объёме воды, поданной в водопроводную сеть</t>
  </si>
  <si>
    <t>Удельное количество тепловой энергии, расходуемое на подогрев горячей воды</t>
  </si>
  <si>
    <t>Удельный расход электрической энергии, потребляемой в технологическом процессе</t>
  </si>
  <si>
    <t>доля сточных вод, не подвергающихся очистке, в общем объёме сточных вод, сбрасываемых в централизованные общесплавные или бытовые системы водоотведения</t>
  </si>
  <si>
    <t xml:space="preserve"> доля поверхностных сточных вод, не подвергающихся очистке, в общем объёме поверхностных сточных вод, принимаемых в централизованную ливневую систему водоотведения</t>
  </si>
  <si>
    <t>доля проб сточных вод, не соответствующих установленным нормативам допустимых сбросов, лимитам на сбросы, рассчитанная применительно к видам централизованных систем водоотведения раздельно для централизованной общесплавной (бытовой) и централизованной ливневой систем водоотведения</t>
  </si>
  <si>
    <t>Удельное количество аварий и засоров в расчете на протяженность канализационной сети</t>
  </si>
  <si>
    <t>Удельный расход электрической энергии, потребляемой в технологическом процессе для:</t>
  </si>
  <si>
    <t>на тепловых сетях на 1 км тепловых сетей</t>
  </si>
  <si>
    <t>на источниках тепловой энергии на 1 Гкал/час установленной мощности</t>
  </si>
  <si>
    <t xml:space="preserve">подготовки питьевой воды, на единицу объёма воды, отпускаемой в сеть_x000D_
</t>
  </si>
  <si>
    <t xml:space="preserve">транспортировки питьевой воды, на единицу объёма транспортируемой воды_x000D_
</t>
  </si>
  <si>
    <t>очистки сточных вод, на единицу объёма очищаемых сточных вод</t>
  </si>
  <si>
    <t>транспортировки сточных вод, на единицу объёма транспортируемых сточных вод</t>
  </si>
  <si>
    <t>ед. в год/км</t>
  </si>
  <si>
    <t>Гкал/куб. м</t>
  </si>
  <si>
    <t>кВт*ч/куб. м</t>
  </si>
  <si>
    <t>кВт*ч/куб.м</t>
  </si>
  <si>
    <t>план</t>
  </si>
  <si>
    <t>факт</t>
  </si>
  <si>
    <t>Наименование централизованной системы горячего водоснабжения</t>
  </si>
  <si>
    <t>Указывается наименование централизованной системы горячего водоснабжения при наличии дифференциации тарифа по централизованным системам горячего водоснабжения._x000D_
В случае дифференциации тарифов по централизованным системам горячего водоснабжения информация по ним указывается в отдельных строках.</t>
  </si>
  <si>
    <t xml:space="preserve">Однокомпонентный тариф </t>
  </si>
  <si>
    <t>Двухкомпонентный тариф</t>
  </si>
  <si>
    <t>Однокомпонентный тариф,_x000D_
руб./куб. м</t>
  </si>
  <si>
    <t>значение компонента на тепловую энергию при установленном одноставочном тарифе,_x000D_
руб./Гкал</t>
  </si>
  <si>
    <t>значение компонента на тепловую энергию при установленном двухставочном тарифе на тепловую энергию (мощность),_x000D_
руб./Гкал</t>
  </si>
  <si>
    <t>pt_ist_te_14</t>
  </si>
  <si>
    <t>Для каждого вида тарифа в сфере горячего водоснабжения форма заполняется отдельно. При размещении информации по данной форме дополнительно указываются сведения: наименование органа регулирования тарифов, принявшего решение об установлении тарифа, реквизиты (дата и номер) решения об установлении тарифа, источник официального опубликования решения об установлении тарифа.</t>
  </si>
  <si>
    <t>Для каждого вида тарифа в сфере горячего водоснабжения форма заполняется отдельно. При размещении информации по данной форме дополнительно указывается дата подачи заявления об утверждении тарифа и его номер.</t>
  </si>
  <si>
    <t>pt_ist_te_16</t>
  </si>
  <si>
    <t>Наименование централизованной системы водоотведения</t>
  </si>
  <si>
    <t>Указывается наименование централизованной системы водоотведения при наличии дифференциации тарифа по централизованным системам водоотведения._x000D_
В случае дифференциации тарифов по централизованным системам водоотведения информация по ним указывается в отдельных строках.</t>
  </si>
  <si>
    <t>одноставочный тариф,_x000D_
руб./куб. м</t>
  </si>
  <si>
    <t>ставка платы за объем _x000D_
принятых сточных вод,_x000D_
руб./куб. м</t>
  </si>
  <si>
    <t>pt_ist_te_17</t>
  </si>
  <si>
    <t>Для каждого вида тарифа в сфере водоотведения форма заполняется отдельно. При размещении информации по данной форме дополнительно указываются сведения: наименование органа регулирования тарифов, принявшего решение об установлении тарифа, реквизиты (дата и номер) решения об установлении тарифа, источник официального опубликования решения об установлении тарифа.</t>
  </si>
  <si>
    <t>Для каждого вида тарифа в сфере водоотведения форма заполняется отдельно. При размещении информации по данной форме дополнительно указывается дата подачи заявления об утверждении тарифа и его номер.</t>
  </si>
  <si>
    <t>pt_ist_te_18</t>
  </si>
  <si>
    <t>Добавить протяженность сети</t>
  </si>
  <si>
    <t>Добавить диапазон диаметров</t>
  </si>
  <si>
    <t>Подключаемая нагрузка канализационной сети,_x000D_
куб. м/сут</t>
  </si>
  <si>
    <t>Диапазон диаметров канализационной сети,_x000D_
мм</t>
  </si>
  <si>
    <t>Протяженность канализационной  сети,_x000D_
км</t>
  </si>
  <si>
    <t>Ставка тарифа за подключаемую нагрузку канализационной сети,_x000D_
тыс. руб./куб. м в сутки</t>
  </si>
  <si>
    <t>Ставка тарифа за протяженность канализационной сети диаметром d,_x000D_
тыс. руб./км</t>
  </si>
  <si>
    <t>pt_ist_te_19</t>
  </si>
  <si>
    <r>
      <t xml:space="preserve">Информация о предоставлении электронного документа в исполнительный орган субъекта Российской Федерации в области государственного регулирования цен (тарифов) </t>
    </r>
    <r>
      <rPr>
        <vertAlign val="superscript"/>
        <sz val="9"/>
        <rFont val="Tahoma"/>
        <family val="2"/>
        <charset val="204"/>
      </rPr>
      <t>2</t>
    </r>
  </si>
  <si>
    <t>Данные электронного документа, подписанного усиленной квалифицированной электронной подписью уполномоченного представителя регулируемой организации</t>
  </si>
  <si>
    <t>Название документа</t>
  </si>
  <si>
    <t>Исходящий номер</t>
  </si>
  <si>
    <t>Дата отправления</t>
  </si>
  <si>
    <t>В колонке "Дата отправления" дата указывается в виде «ДД.ММ.ГГГГ»._x000D_
В колонке «Ссылка на документ» указывается ссылка на электронный документ, подписанный усиленной квалифицированной электронной подписью уполномоченного представителя регулируемой организации, предварительно загруженный в хранилище файлов ФГИС ЕИАС.</t>
  </si>
  <si>
    <r>
      <rPr>
        <vertAlign val="superscript"/>
        <sz val="9"/>
        <rFont val="Tahoma"/>
        <family val="2"/>
        <charset val="204"/>
      </rPr>
      <t>2</t>
    </r>
    <r>
      <rPr>
        <sz val="9"/>
        <rFont val="Tahoma"/>
        <family val="2"/>
        <charset val="204"/>
      </rPr>
      <t xml:space="preserve"> Размещается информация по каждой из форм раскрытия, данные в которой относятся к муниципальному образованию, в котором отсутствует доступ в сеть «Интернет».</t>
    </r>
  </si>
  <si>
    <t>Сведения об изменениях в первоначально опубликованной информации*</t>
  </si>
  <si>
    <t>Сведения</t>
  </si>
  <si>
    <t>Добавить</t>
  </si>
  <si>
    <t>* Лист заполняется в случае, если на Титульном листе в поле "Тип отчета" выбрано значение «Изменения в раскрытой ранее информации».</t>
  </si>
  <si>
    <t>Наименование органа регулирования тарифов</t>
  </si>
  <si>
    <t>Указывается в соответствии с нормативным правовым актом, на основании которого орган регулирования тарифов образован.</t>
  </si>
  <si>
    <t xml:space="preserve">Фамилия, имя и отчество руководителя: </t>
  </si>
  <si>
    <t>фамилия руководителя</t>
  </si>
  <si>
    <t>Указывается фамилия руководителя в соответствии с паспортными данными физического лица.</t>
  </si>
  <si>
    <t>имя руководителя</t>
  </si>
  <si>
    <t>Указывается имя руководителя в соответствии с паспортными данными физического лица.</t>
  </si>
  <si>
    <t>отчество руководителя</t>
  </si>
  <si>
    <t>Указывается отчество руководителя в соответствии с паспортными данными физического лица (при наличии).</t>
  </si>
  <si>
    <t xml:space="preserve">Почтовый адрес </t>
  </si>
  <si>
    <t>Указывается наименование субъекта Российской Федерации, муниципального района, города, иного населенного пункта, улицы, номер дома, при необходимости указывается корпус, строение, литера или дополнительная территория._x000D_
Данные указываются согласно наименованиям адресных объектов в ФИАС.</t>
  </si>
  <si>
    <t xml:space="preserve">Адрес места нахождения </t>
  </si>
  <si>
    <t>Справочные телефоны</t>
  </si>
  <si>
    <t>Указывается номер контактного телефона. В случае наличия нескольких номеров телефонов, информация по каждому из них указывается в отдельной строке.</t>
  </si>
  <si>
    <t>Адрес официального сайта органа регулирования тарифов в сети "Интернет"</t>
  </si>
  <si>
    <t>Указывается адрес официального сайта в сети "Интернет". В случае отсутствия официального сайта в сети "Интернет" указывается "Отсутствует".</t>
  </si>
  <si>
    <t xml:space="preserve">Адрес электронной почты </t>
  </si>
  <si>
    <t>При наличии.</t>
  </si>
  <si>
    <t>Наименование организации</t>
  </si>
  <si>
    <t>ОГРН (ОГРНИП)</t>
  </si>
  <si>
    <t>Значение в поле «Наименование организации» содержит наименование юридического лица согласно уставу организации._x000D_
Значение в поле «ИНН» содержит идентификационный номер налогоплательщика._x000D_
Значение в поле «КПП» содержит код постановки на учёт._x000D_
Значение в поле «ОГРН (ОГРНИП)» содержит основной государственный регистрационный номер юридического лица (индивидуального предпринимателя).</t>
  </si>
  <si>
    <t>Добавить организацию</t>
  </si>
  <si>
    <t>дата</t>
  </si>
  <si>
    <t>время</t>
  </si>
  <si>
    <t>место</t>
  </si>
  <si>
    <t>В поле «Наименование органа регулирования тарифов» указывается наименование в соответствии с нормативным правовым актом, на основании которого региональный орган регулирования (орган местного самоуправления) образован._x000D_
В поле «дата» указывается дата в виде "ДД.ММ.ГГГГ»._x000D_
В поле «место» указывается адрес места проведения заседания (коллегии)._x000D_
В полях «Принятые органом регулирования… » и «Протокол заседания…» указываются ссылка на документ, предварительно загруженный в хранилище файлов ФГИС ЕИАС.</t>
  </si>
  <si>
    <t>Добавить заседание</t>
  </si>
  <si>
    <t>Добавить должностное лицо</t>
  </si>
  <si>
    <t>Форма 4. Информация о привлечении к административной ответственности организаций и должностных лиц за нарушение установленных порядка, способа, сроков раскрытия информации и форм ее предоставления</t>
  </si>
  <si>
    <t>Наименование юридического лица указывается согласно уставу организации.</t>
  </si>
  <si>
    <t>Указывается краткое описание нарушения с указанием статьи Кодекса Российской Федерации об административных правонарушениях.</t>
  </si>
  <si>
    <t>Указывается результат рассмотрения дела об административном правонарушении (с указанием вида административного наказания).</t>
  </si>
  <si>
    <t>Указывается ссылка на документ, предварительно загруженный в хранилище файлов ФГИС ЕИАС._x000D_
Раскрывается исполнительным органом субъекта Российской Федерации в области государственного регулирования цен (тарифов)</t>
  </si>
  <si>
    <t>Данные об организации, в отношении которой рассмотрено дело об административном правонарушении (общая информация о регулируемой организации и наименование должности)</t>
  </si>
  <si>
    <t xml:space="preserve">Наименование должности лица, в отношении которого рассмотрено дело об административном правонарушении </t>
  </si>
  <si>
    <t>Краткое описание нарушения</t>
  </si>
  <si>
    <t>Результат рассмотрения дела об административном правонарушении</t>
  </si>
  <si>
    <t xml:space="preserve">Информация о докладе, содержащем обобщения правоприменительной практики, в рамках регионального государственного контроля (надзора) в области регулирования цен (тарифов) в сфере теплоснабжения в случае, если региональный государственный контроль (надзор) в области регулирования цен (тарифов) в сфере теплоснабжения в соответствии с положением, утвержденным высшим исполнительным органом субъекта Российской Федерации, осуществляется исполнительным органом субъекта Российской Федерации в области государственного регулирования цен (тарифов) </t>
  </si>
  <si>
    <t>Наименование регулируемой организации</t>
  </si>
  <si>
    <t>Комментарии</t>
  </si>
  <si>
    <t>Результат проверки</t>
  </si>
  <si>
    <t>Ссылка</t>
  </si>
  <si>
    <t>Причина</t>
  </si>
  <si>
    <t>Статус</t>
  </si>
  <si>
    <t>Цвет</t>
  </si>
  <si>
    <t>Раздел</t>
  </si>
  <si>
    <t>доп.листы</t>
  </si>
  <si>
    <t>готовность</t>
  </si>
  <si>
    <t>ИП</t>
  </si>
  <si>
    <t>REGION_ID</t>
  </si>
  <si>
    <t>REGION_NAME</t>
  </si>
  <si>
    <t>RST_ORG_ID</t>
  </si>
  <si>
    <t>ORG_NAME</t>
  </si>
  <si>
    <t>INN_NAME</t>
  </si>
  <si>
    <t>KPP_NAME</t>
  </si>
  <si>
    <t>ORG_START_DATE</t>
  </si>
  <si>
    <t>ORG_END_DATE</t>
  </si>
  <si>
    <t>VDET_START_DATE</t>
  </si>
  <si>
    <t>VDET_END_DATE</t>
  </si>
  <si>
    <t>VDET_NAME</t>
  </si>
  <si>
    <t>VDET_NAME_LIST</t>
  </si>
  <si>
    <t>VDET_FULL_NAME_LIST</t>
  </si>
  <si>
    <t>SPHERE</t>
  </si>
  <si>
    <t>2623</t>
  </si>
  <si>
    <t>26322187</t>
  </si>
  <si>
    <t>АО "Аэропорт Астрахань"</t>
  </si>
  <si>
    <t>3017004560</t>
  </si>
  <si>
    <t>302501001</t>
  </si>
  <si>
    <t>15-03-2001 00:00:00</t>
  </si>
  <si>
    <t>Некомбинированная выработка :: Сбыт :: Передача</t>
  </si>
  <si>
    <t>/Тепловая энергия/Производство/Некомбинированная выработка :: /Тепловая энергия/Сбыт :: /Тепловая энергия/Передача</t>
  </si>
  <si>
    <t>26318597</t>
  </si>
  <si>
    <t>АО "ТЭЦ-Северная"</t>
  </si>
  <si>
    <t>3018013285</t>
  </si>
  <si>
    <t>06-01-1998 00:00:00</t>
  </si>
  <si>
    <t>Комбинированная выработка :: Передача</t>
  </si>
  <si>
    <t>/Тепловая энергия/Производство/Комбинированная выработка :: /Тепловая энергия/Передача</t>
  </si>
  <si>
    <t>27-09-2013 00:00:00</t>
  </si>
  <si>
    <t>Теплоноситель - Сбыт :: Производство :: Передача</t>
  </si>
  <si>
    <t>Сбыт :: Производство :: Передача</t>
  </si>
  <si>
    <t>/Теплоноситель/Сбыт :: /Теплоноситель/Производство :: /Теплоноситель/Передача</t>
  </si>
  <si>
    <t>26453803</t>
  </si>
  <si>
    <t>Дирекция по тепловодоснабжению Приволжской железной дороги - филиала ОАО "РЖД"</t>
  </si>
  <si>
    <t>7708503727</t>
  </si>
  <si>
    <t>645445001</t>
  </si>
  <si>
    <t>10-12-2009 00:00:00</t>
  </si>
  <si>
    <t>22-05-2015 00:00:00</t>
  </si>
  <si>
    <t>01-01-2018 00:00:00</t>
  </si>
  <si>
    <t>26322196</t>
  </si>
  <si>
    <t>ЛПУМГ ООО "Газпром трансгаз Ставрополь"</t>
  </si>
  <si>
    <t>2636032629</t>
  </si>
  <si>
    <t>300802001</t>
  </si>
  <si>
    <t>01-07-2008 00:00:00</t>
  </si>
  <si>
    <t>01-01-2019 00:00:00</t>
  </si>
  <si>
    <t>30809881</t>
  </si>
  <si>
    <t>МБУ "Дирекция ЖКХ"</t>
  </si>
  <si>
    <t>3019016401</t>
  </si>
  <si>
    <t>301901001</t>
  </si>
  <si>
    <t>04-09-2015 00:00:00</t>
  </si>
  <si>
    <t>21-07-2016 00:00:00</t>
  </si>
  <si>
    <t>01-01-2023 00:00:00</t>
  </si>
  <si>
    <t>28932425</t>
  </si>
  <si>
    <t>МКУ "ЕДДС Наримановского района"</t>
  </si>
  <si>
    <t>3023004430</t>
  </si>
  <si>
    <t>302301001</t>
  </si>
  <si>
    <t>11-12-2012 00:00:00</t>
  </si>
  <si>
    <t>26463167</t>
  </si>
  <si>
    <t>МП "Теплосети"</t>
  </si>
  <si>
    <t>3013002956</t>
  </si>
  <si>
    <t>301301001</t>
  </si>
  <si>
    <t>01-11-2000 00:00:00</t>
  </si>
  <si>
    <t>30796676</t>
  </si>
  <si>
    <t>МУП "Ахтубинск-Водоканал"</t>
  </si>
  <si>
    <t>3022001194</t>
  </si>
  <si>
    <t>302201001</t>
  </si>
  <si>
    <t>27-09-2011 00:00:00</t>
  </si>
  <si>
    <t>08-02-2016 00:00:00</t>
  </si>
  <si>
    <t>Некомбинированная выработка :: Сбыт</t>
  </si>
  <si>
    <t>/Тепловая энергия/Производство/Некомбинированная выработка :: /Тепловая энергия/Сбыт</t>
  </si>
  <si>
    <t>26379535</t>
  </si>
  <si>
    <t>МУП "Водопроводные сети" МО "Енотаевский район"</t>
  </si>
  <si>
    <t>3003005740</t>
  </si>
  <si>
    <t>04-05-2006 00:00:00</t>
  </si>
  <si>
    <t>Некомбинированная выработка :: Передача</t>
  </si>
  <si>
    <t>/Тепловая энергия/Производство/Некомбинированная выработка :: /Тепловая энергия/Передача</t>
  </si>
  <si>
    <t>20-08-2015 00:00:00</t>
  </si>
  <si>
    <t>03-08-2020 00:00:00</t>
  </si>
  <si>
    <t>28819860</t>
  </si>
  <si>
    <t>МУП "ЖКХ "ЮЖНОЕ" МО "ХАРАБАЛИНСКИЙ РАЙОН"</t>
  </si>
  <si>
    <t>3022002920</t>
  </si>
  <si>
    <t>25-06-2014 00:00:00</t>
  </si>
  <si>
    <t>01-10-2021 00:00:00</t>
  </si>
  <si>
    <t>17-10-2022 00:00:00</t>
  </si>
  <si>
    <t>26462916</t>
  </si>
  <si>
    <t>МУП "ЖКХ" п. Волго-Каспийский"</t>
  </si>
  <si>
    <t>3005312009</t>
  </si>
  <si>
    <t>300501001</t>
  </si>
  <si>
    <t>28-05-2009 00:00:00</t>
  </si>
  <si>
    <t>31338569</t>
  </si>
  <si>
    <t>МУП "Икрянинское КЭП"</t>
  </si>
  <si>
    <t>3025035650</t>
  </si>
  <si>
    <t>06-06-2019 00:00:00</t>
  </si>
  <si>
    <t>01-11-2019 00:00:00</t>
  </si>
  <si>
    <t>31683463</t>
  </si>
  <si>
    <t>МУП "КХ Черноярского района МО "Черноярский муниципальный район Астраханской области"</t>
  </si>
  <si>
    <t>3000007040</t>
  </si>
  <si>
    <t>300001001</t>
  </si>
  <si>
    <t>17-05-2023 00:00:00</t>
  </si>
  <si>
    <t>10-10-2023 00:00:00</t>
  </si>
  <si>
    <t>26379546</t>
  </si>
  <si>
    <t>МУП "Камызякгорсети"</t>
  </si>
  <si>
    <t>3005310594</t>
  </si>
  <si>
    <t>06-05-2006 00:00:00</t>
  </si>
  <si>
    <t>31634947</t>
  </si>
  <si>
    <t>МУП "Ресурс" МО "Рабочий поселок Красные Баррикады"</t>
  </si>
  <si>
    <t>3025039291</t>
  </si>
  <si>
    <t>16-09-2022 00:00:00</t>
  </si>
  <si>
    <t>20-10-2023 00:00:00</t>
  </si>
  <si>
    <t>26462548</t>
  </si>
  <si>
    <t>МУП "Тепло" с. Оранжереи</t>
  </si>
  <si>
    <t>3004008060</t>
  </si>
  <si>
    <t>300401001</t>
  </si>
  <si>
    <t>04-07-2006 00:00:00</t>
  </si>
  <si>
    <t>31502460</t>
  </si>
  <si>
    <t>МУП "Теплоснабжение" МО "Город Нариманов"</t>
  </si>
  <si>
    <t>3023023578</t>
  </si>
  <si>
    <t>01-07-2021 00:00:00</t>
  </si>
  <si>
    <t>26842029</t>
  </si>
  <si>
    <t>МУП «Никольское» МО «Енотаевский район»</t>
  </si>
  <si>
    <t>3003005813</t>
  </si>
  <si>
    <t>300301001</t>
  </si>
  <si>
    <t>11-08-2008 00:00:00</t>
  </si>
  <si>
    <t>07-06-2019 00:00:00</t>
  </si>
  <si>
    <t>29648235</t>
  </si>
  <si>
    <t>МУП ЖКХ МО "ПОСЕЛОК НИЖНИЙ БАСКУНЧАК"</t>
  </si>
  <si>
    <t>3022003441</t>
  </si>
  <si>
    <t>04-06-2015 00:00:00</t>
  </si>
  <si>
    <t>16-10-2015 00:00:00</t>
  </si>
  <si>
    <t>26887052</t>
  </si>
  <si>
    <t>МУП ЖКХ МО "Поселок Верхний Баскунчак"</t>
  </si>
  <si>
    <t>3022000867</t>
  </si>
  <si>
    <t>25-07-2011 00:00:00</t>
  </si>
  <si>
    <t>28455911</t>
  </si>
  <si>
    <t>МУП С. КРАСНЫЙ ЯР "АВАНГАРДЪ"</t>
  </si>
  <si>
    <t>3019008369</t>
  </si>
  <si>
    <t>09-08-2013 00:00:00</t>
  </si>
  <si>
    <t>01-07-2017 00:00:00</t>
  </si>
  <si>
    <t>26462009</t>
  </si>
  <si>
    <t>31-05-1995 00:00:00</t>
  </si>
  <si>
    <t>30803493</t>
  </si>
  <si>
    <t>ООО "Астраханские тепловые сети"</t>
  </si>
  <si>
    <t>3019019321</t>
  </si>
  <si>
    <t>01-07-2016 00:00:00</t>
  </si>
  <si>
    <t>Теплоноситель - Сбыт :: Передача</t>
  </si>
  <si>
    <t>Сбыт :: Передача</t>
  </si>
  <si>
    <t>/Теплоноситель/Сбыт :: /Теплоноситель/Передача</t>
  </si>
  <si>
    <t>07-07-2016 00:00:00</t>
  </si>
  <si>
    <t>/Тепловая энергия/Сбыт :: /Тепловая энергия/Передача</t>
  </si>
  <si>
    <t>12-10-2020 00:00:00</t>
  </si>
  <si>
    <t>Некомбинированная выработка</t>
  </si>
  <si>
    <t>/Тепловая энергия/Производство/Некомбинированная выработка</t>
  </si>
  <si>
    <t>Теплоноситель - Производство</t>
  </si>
  <si>
    <t>Производство</t>
  </si>
  <si>
    <t>/Теплоноситель/Производство</t>
  </si>
  <si>
    <t>26461701</t>
  </si>
  <si>
    <t>ООО "ЛУКОЙЛ-Астраханьэнерго"</t>
  </si>
  <si>
    <t>3016059510</t>
  </si>
  <si>
    <t>785150001</t>
  </si>
  <si>
    <t>03-03-2009 00:00:00</t>
  </si>
  <si>
    <t>Комбинированная выработка</t>
  </si>
  <si>
    <t>/Тепловая энергия/Производство/Комбинированная выработка</t>
  </si>
  <si>
    <t>18-11-2015 00:00:00</t>
  </si>
  <si>
    <t>13-12-2021 00:00:00</t>
  </si>
  <si>
    <t>/Тепловая энергия/Передача</t>
  </si>
  <si>
    <t>Теплоноситель - Передача</t>
  </si>
  <si>
    <t>/Теплоноситель/Передача</t>
  </si>
  <si>
    <t>31640676</t>
  </si>
  <si>
    <t>ООО "Теплотрансгаз"</t>
  </si>
  <si>
    <t>3457010532</t>
  </si>
  <si>
    <t>345701001</t>
  </si>
  <si>
    <t>19-01-2022 00:00:00</t>
  </si>
  <si>
    <t>28257095</t>
  </si>
  <si>
    <t>ООО "ТопЭнерго"</t>
  </si>
  <si>
    <t>3015098393</t>
  </si>
  <si>
    <t>301501001</t>
  </si>
  <si>
    <t>16-08-2013 00:00:00</t>
  </si>
  <si>
    <t>31448152</t>
  </si>
  <si>
    <t>ООО "ЭЛЕКТРОБЫТ"</t>
  </si>
  <si>
    <t>7116158230</t>
  </si>
  <si>
    <t>711601001</t>
  </si>
  <si>
    <t>13-11-2018 00:00:00</t>
  </si>
  <si>
    <t>15-10-2020 00:00:00</t>
  </si>
  <si>
    <t>30991653</t>
  </si>
  <si>
    <t>ООО «Истейт проджект»</t>
  </si>
  <si>
    <t>7721738478</t>
  </si>
  <si>
    <t>13-10-2011 00:00:00</t>
  </si>
  <si>
    <t>Комбинированная выработка :: Сбыт</t>
  </si>
  <si>
    <t>/Тепловая энергия/Производство/Комбинированная выработка :: /Тепловая энергия/Сбыт</t>
  </si>
  <si>
    <t>31617892</t>
  </si>
  <si>
    <t>ООО «КЭС-Лиман»</t>
  </si>
  <si>
    <t>3000000790</t>
  </si>
  <si>
    <t>21-10-2022 00:00:00</t>
  </si>
  <si>
    <t>01-01-2024 00:00:00</t>
  </si>
  <si>
    <t>30923515</t>
  </si>
  <si>
    <t>ФГБУ "Центральное жилищно-коммунальное управление" Министерства обороны РФ</t>
  </si>
  <si>
    <t>7729314745</t>
  </si>
  <si>
    <t>616543001</t>
  </si>
  <si>
    <t>14-11-2002 00:00:00</t>
  </si>
  <si>
    <t>01-01-2020 00:00:00</t>
  </si>
  <si>
    <t>26322182</t>
  </si>
  <si>
    <t>Южный филиал ООО "Газпром энерго"</t>
  </si>
  <si>
    <t>7736186950</t>
  </si>
  <si>
    <t>300602001</t>
  </si>
  <si>
    <t>03-08-2005 00:00:00</t>
  </si>
  <si>
    <t>Оказание услуг в сфере горячего водоснабжения</t>
  </si>
  <si>
    <t>Сбыт :: Производство :: Транспортировка</t>
  </si>
  <si>
    <t>/ГВС/Сбыт :: /ГВС/Производство :: /ГВС/Транспортировка</t>
  </si>
  <si>
    <t>Поставка горячей воды</t>
  </si>
  <si>
    <t>Сбыт</t>
  </si>
  <si>
    <t>/ГВС/Сбыт</t>
  </si>
  <si>
    <t>15-10-2023 00:00:00</t>
  </si>
  <si>
    <t>Сбыт :: Производство</t>
  </si>
  <si>
    <t>/ГВС/Сбыт :: /ГВС/Производство</t>
  </si>
  <si>
    <t>/ГВС/Транспортировка</t>
  </si>
  <si>
    <t>/ГВС/Производство</t>
  </si>
  <si>
    <t>Сбыт :: Транспортировка</t>
  </si>
  <si>
    <t>/ГВС/Сбыт :: /ГВС/Транспортировка</t>
  </si>
  <si>
    <t>01-11-2015 00:00:00</t>
  </si>
  <si>
    <t>01-09-2016 00:00:00</t>
  </si>
  <si>
    <t>Оказание услуг в сфере водоснабжения</t>
  </si>
  <si>
    <t>Подвоз воды :: Техническая :: Питьевая :: Техническая :: Питьевая :: Техническая :: Питьевая :: Очистка</t>
  </si>
  <si>
    <t>/ХВС/Подвоз воды :: /ХВС/Сбыт/Техническая :: /ХВС/Сбыт/Питьевая :: /ХВС/Транспортировка/Техническая :: /ХВС/Транспортировка/Питьевая :: /ХВС/Производство/Техническая :: /ХВС/Производство/Питьевая :: /ХВС/Очистка</t>
  </si>
  <si>
    <t>16-12-2016 00:00:00</t>
  </si>
  <si>
    <t>Техническая :: Техническая</t>
  </si>
  <si>
    <t>/ХВС/Сбыт/Техническая :: /ХВС/Производство/Техническая</t>
  </si>
  <si>
    <t>30795717</t>
  </si>
  <si>
    <t>МБУ "СТРОИТЕЛЬНО-КОММУНАЛЬНАЯ СЛУЖБА №1"</t>
  </si>
  <si>
    <t>3025027666</t>
  </si>
  <si>
    <t>15-04-2016 00:00:00</t>
  </si>
  <si>
    <t>24-05-2016 00:00:00</t>
  </si>
  <si>
    <t>Техническая :: Техническая :: Техническая</t>
  </si>
  <si>
    <t>/ХВС/Сбыт/Техническая :: /ХВС/Транспортировка/Техническая :: /ХВС/Производство/Техническая</t>
  </si>
  <si>
    <t>Транспортировка воды</t>
  </si>
  <si>
    <t>28968528</t>
  </si>
  <si>
    <t>МБУ "СТРОИТЕЛЬНО-КОММУНАЛЬНАЯ СЛУЖБА"</t>
  </si>
  <si>
    <t>3025013529</t>
  </si>
  <si>
    <t>03-12-2014 00:00:00</t>
  </si>
  <si>
    <t>Техническая :: Питьевая :: Техническая :: Питьевая :: Техническая :: Питьевая</t>
  </si>
  <si>
    <t>/ХВС/Сбыт/Техническая :: /ХВС/Сбыт/Питьевая :: /ХВС/Транспортировка/Техническая :: /ХВС/Транспортировка/Питьевая :: /ХВС/Производство/Техническая :: /ХВС/Производство/Питьевая</t>
  </si>
  <si>
    <t>31-08-2016 00:00:00</t>
  </si>
  <si>
    <t>Техническая :: Питьевая :: Техническая</t>
  </si>
  <si>
    <t>/ХВС/Сбыт/Техническая :: /ХВС/Транспортировка/Питьевая :: /ХВС/Производство/Техническая</t>
  </si>
  <si>
    <t>01-10-2017 00:00:00</t>
  </si>
  <si>
    <t>/ХВС/Сбыт/Техническая :: /ХВС/Транспортировка/Техническая</t>
  </si>
  <si>
    <t>06-10-2017 00:00:00</t>
  </si>
  <si>
    <t>Техническая</t>
  </si>
  <si>
    <t>/ХВС/Производство/Техническая</t>
  </si>
  <si>
    <t>31268470</t>
  </si>
  <si>
    <t>МКУ "Чистое село"</t>
  </si>
  <si>
    <t>3023018497</t>
  </si>
  <si>
    <t>20-12-2016 00:00:00</t>
  </si>
  <si>
    <t>01-04-2019 00:00:00</t>
  </si>
  <si>
    <t>31314644</t>
  </si>
  <si>
    <t>МУП  "Старицкое коммунальное хозяйство"</t>
  </si>
  <si>
    <t>3011006553</t>
  </si>
  <si>
    <t>04-12-2007 00:00:00</t>
  </si>
  <si>
    <t>01-07-2019 00:00:00</t>
  </si>
  <si>
    <t>/ХВС/Транспортировка/Техническая :: /ХВС/Производство/Техническая</t>
  </si>
  <si>
    <t>30421058</t>
  </si>
  <si>
    <t>МУП "Водоканал"</t>
  </si>
  <si>
    <t>3019017701</t>
  </si>
  <si>
    <t>18-02-2016 00:00:00</t>
  </si>
  <si>
    <t>Питьевая :: Питьевая :: Питьевая :: Очистка</t>
  </si>
  <si>
    <t>/ХВС/Сбыт/Питьевая :: /ХВС/Транспортировка/Питьевая :: /ХВС/Производство/Питьевая :: /ХВС/Очистка</t>
  </si>
  <si>
    <t>01-01-2017 00:00:00</t>
  </si>
  <si>
    <t>Техническая :: Питьевая :: Техническая :: Питьевая :: Техническая :: Питьевая :: Очистка</t>
  </si>
  <si>
    <t>/ХВС/Сбыт/Техническая :: /ХВС/Сбыт/Питьевая :: /ХВС/Транспортировка/Техническая :: /ХВС/Транспортировка/Питьевая :: /ХВС/Производство/Техническая :: /ХВС/Производство/Питьевая :: /ХВС/Очистка</t>
  </si>
  <si>
    <t>31222949</t>
  </si>
  <si>
    <t>МУП "Водоканал-Ильинка"</t>
  </si>
  <si>
    <t>3025034102</t>
  </si>
  <si>
    <t>28-09-2018 00:00:00</t>
  </si>
  <si>
    <t>30438763</t>
  </si>
  <si>
    <t>МУП "Водопровод"</t>
  </si>
  <si>
    <t>3022006770</t>
  </si>
  <si>
    <t>01-03-2016 00:00:00</t>
  </si>
  <si>
    <t>08-04-2016 00:00:00</t>
  </si>
  <si>
    <t>01-12-2020 00:00:00</t>
  </si>
  <si>
    <t>09-08-2023 00:00:00</t>
  </si>
  <si>
    <t>Техническая :: Техническая :: Техническая :: Очистка</t>
  </si>
  <si>
    <t>/ХВС/Сбыт/Техническая :: /ХВС/Транспортировка/Техническая :: /ХВС/Производство/Техническая :: /ХВС/Очистка</t>
  </si>
  <si>
    <t>01-07-2015 00:00:00</t>
  </si>
  <si>
    <t>01-10-2019 00:00:00</t>
  </si>
  <si>
    <t>Питьевая :: Питьевая :: Питьевая</t>
  </si>
  <si>
    <t>/ХВС/Сбыт/Питьевая :: /ХВС/Транспортировка/Питьевая :: /ХВС/Производство/Питьевая</t>
  </si>
  <si>
    <t>28069835</t>
  </si>
  <si>
    <t>МУП "Вязовское коммунальное хозяйство"</t>
  </si>
  <si>
    <t>3011006715</t>
  </si>
  <si>
    <t>17-02-2009 00:00:00</t>
  </si>
  <si>
    <t>23-12-2016 00:00:00</t>
  </si>
  <si>
    <t>31601771</t>
  </si>
  <si>
    <t>МУП "ЖКХ АХТУБИНСКОЕ"</t>
  </si>
  <si>
    <t>3022003025</t>
  </si>
  <si>
    <t>19-08-2014 00:00:00</t>
  </si>
  <si>
    <t>05-08-2022 00:00:00</t>
  </si>
  <si>
    <t>Техническая :: Питьевая :: Техническая :: Питьевая :: Техническая</t>
  </si>
  <si>
    <t>/ХВС/Сбыт/Техническая :: /ХВС/Сбыт/Питьевая :: /ХВС/Транспортировка/Техническая :: /ХВС/Транспортировка/Питьевая :: /ХВС/Производство/Техническая</t>
  </si>
  <si>
    <t>01-09-2022 00:00:00</t>
  </si>
  <si>
    <t>Питьевая :: Очистка</t>
  </si>
  <si>
    <t>/ХВС/Производство/Питьевая :: /ХВС/Очистка</t>
  </si>
  <si>
    <t>26798242</t>
  </si>
  <si>
    <t>МУП "ЖКХ Дельта" МО "Камызякский район"</t>
  </si>
  <si>
    <t>3005007125</t>
  </si>
  <si>
    <t>30-07-2003 00:00:00</t>
  </si>
  <si>
    <t>01-08-2023 00:00:00</t>
  </si>
  <si>
    <t>30795676</t>
  </si>
  <si>
    <t>МУП "Камызякский водопровод" МО "Камызякский район"</t>
  </si>
  <si>
    <t>3023017285</t>
  </si>
  <si>
    <t>13-05-2016 00:00:00</t>
  </si>
  <si>
    <t>Питьевая :: Питьевая :: Очистка</t>
  </si>
  <si>
    <t>/ХВС/Сбыт/Питьевая :: /ХВС/Транспортировка/Питьевая :: /ХВС/Очистка</t>
  </si>
  <si>
    <t>30-05-2016 00:00:00</t>
  </si>
  <si>
    <t>Питьевая</t>
  </si>
  <si>
    <t>/ХВС/Производство/Питьевая</t>
  </si>
  <si>
    <t>30-03-2017 00:00:00</t>
  </si>
  <si>
    <t>26462680</t>
  </si>
  <si>
    <t>МУП "Каралатское"</t>
  </si>
  <si>
    <t>3005310876</t>
  </si>
  <si>
    <t>12-10-2006 00:00:00</t>
  </si>
  <si>
    <t>27518589</t>
  </si>
  <si>
    <t>МУП "Лиманские водопроводы"</t>
  </si>
  <si>
    <t>3021000367</t>
  </si>
  <si>
    <t>302101001</t>
  </si>
  <si>
    <t>16-12-2010 00:00:00</t>
  </si>
  <si>
    <t>01-01-2016 00:00:00</t>
  </si>
  <si>
    <t>22-06-2016 00:00:00</t>
  </si>
  <si>
    <t>Подвоз воды</t>
  </si>
  <si>
    <t>/ХВС/Подвоз воды</t>
  </si>
  <si>
    <t>31719575</t>
  </si>
  <si>
    <t>МУП "Лотос"</t>
  </si>
  <si>
    <t>3000001828</t>
  </si>
  <si>
    <t>22-07-2022 00:00:00</t>
  </si>
  <si>
    <t>19-12-2023 00:00:00</t>
  </si>
  <si>
    <t>31-01-2024 00:00:00</t>
  </si>
  <si>
    <t>01-02-2024 00:00:00</t>
  </si>
  <si>
    <t>31338588</t>
  </si>
  <si>
    <t>МУП "Оранжерейнинское КЭП"</t>
  </si>
  <si>
    <t>3025035811</t>
  </si>
  <si>
    <t>03-07-2019 00:00:00</t>
  </si>
  <si>
    <t>26799916</t>
  </si>
  <si>
    <t>МУП "Растопуловское ЖКХ"</t>
  </si>
  <si>
    <t>3009016681</t>
  </si>
  <si>
    <t>300901001</t>
  </si>
  <si>
    <t>02-02-2010 00:00:00</t>
  </si>
  <si>
    <t>01-12-2015 00:00:00</t>
  </si>
  <si>
    <t>02-12-2015 00:00:00</t>
  </si>
  <si>
    <t>01-12-2022 00:00:00</t>
  </si>
  <si>
    <t>31415664</t>
  </si>
  <si>
    <t>МУП "Символ"</t>
  </si>
  <si>
    <t>3023021066</t>
  </si>
  <si>
    <t>13-04-2020 00:00:00</t>
  </si>
  <si>
    <t>01-05-2020 00:00:00</t>
  </si>
  <si>
    <t>01-07-2022 00:00:00</t>
  </si>
  <si>
    <t>Техническая :: Питьевая :: Техническая :: Питьевая :: Питьевая</t>
  </si>
  <si>
    <t>/ХВС/Сбыт/Техническая :: /ХВС/Сбыт/Питьевая :: /ХВС/Транспортировка/Техническая :: /ХВС/Транспортировка/Питьевая :: /ХВС/Производство/Питьевая</t>
  </si>
  <si>
    <t>01-08-2019 00:00:00</t>
  </si>
  <si>
    <t>08-11-2019 00:00:00</t>
  </si>
  <si>
    <t>/ХВС/Сбыт/Техническая</t>
  </si>
  <si>
    <t>31411925</t>
  </si>
  <si>
    <t>МУП ЖКХ "АХТУБИНСКИЕ ВОДОПРОВОДЫ" МО "АХТУБИНСКИЙ РАЙОН"</t>
  </si>
  <si>
    <t>3022007478</t>
  </si>
  <si>
    <t>/ХВС/Транспортировка/Питьевая</t>
  </si>
  <si>
    <t>01-02-2021 00:00:00</t>
  </si>
  <si>
    <t>30436008</t>
  </si>
  <si>
    <t>МУП ЖКХ "Универсал"</t>
  </si>
  <si>
    <t>3022003410</t>
  </si>
  <si>
    <t>23-04-2015 00:00:00</t>
  </si>
  <si>
    <t>30-03-2016 00:00:00</t>
  </si>
  <si>
    <t>/ХВС/Транспортировка/Питьевая :: /ХВС/Производство/Питьевая :: /ХВС/Очистка</t>
  </si>
  <si>
    <t>27203134</t>
  </si>
  <si>
    <t>МУП ЖКХ МО "Воленский сельсовет"</t>
  </si>
  <si>
    <t>3010008639</t>
  </si>
  <si>
    <t>301001001</t>
  </si>
  <si>
    <t>30-09-2011 00:00:00</t>
  </si>
  <si>
    <t>26371672</t>
  </si>
  <si>
    <t>МУП ЖКХ МО Селитренский сельсовет</t>
  </si>
  <si>
    <t>3010053977</t>
  </si>
  <si>
    <t>02-03-2006 00:00:00</t>
  </si>
  <si>
    <t>26371669</t>
  </si>
  <si>
    <t>МУП ЖКХ МО Хошеутовский сельсовет</t>
  </si>
  <si>
    <t>3010053624</t>
  </si>
  <si>
    <t>21-07-2005 00:00:00</t>
  </si>
  <si>
    <t>26371670</t>
  </si>
  <si>
    <t>МУП ЖКХ Речновский сельсовет</t>
  </si>
  <si>
    <t>3010053857</t>
  </si>
  <si>
    <t>30-12-2005 00:00:00</t>
  </si>
  <si>
    <t>26379565</t>
  </si>
  <si>
    <t>МУП г.Астрахани "Астрводоканал"</t>
  </si>
  <si>
    <t>3017037981</t>
  </si>
  <si>
    <t>10-06-2003 00:00:00</t>
  </si>
  <si>
    <t>31440631</t>
  </si>
  <si>
    <t>Муниципальное бюджетное учреждение муниципального образования Приволжский район  "БИОМ"</t>
  </si>
  <si>
    <t>3019028679</t>
  </si>
  <si>
    <t>07-08-2020 00:00:00</t>
  </si>
  <si>
    <t>01-09-2020 00:00:00</t>
  </si>
  <si>
    <t>01-01-2021 00:00:00</t>
  </si>
  <si>
    <t>Питьевая :: Питьевая</t>
  </si>
  <si>
    <t>/ХВС/Сбыт/Питьевая :: /ХВС/Транспортировка/Питьевая</t>
  </si>
  <si>
    <t>26801680</t>
  </si>
  <si>
    <t>ООО "Давлеталиев"</t>
  </si>
  <si>
    <t>3009013578</t>
  </si>
  <si>
    <t>15-12-2005 00:00:00</t>
  </si>
  <si>
    <t>30948680</t>
  </si>
  <si>
    <t>ООО "ЦИФРОВОЙ ВОДОКАНАЛ"</t>
  </si>
  <si>
    <t>7720348965</t>
  </si>
  <si>
    <t>771501001</t>
  </si>
  <si>
    <t>05-08-2016 00:00:00</t>
  </si>
  <si>
    <t>05-09-2017 00:00:00</t>
  </si>
  <si>
    <t>28980772</t>
  </si>
  <si>
    <t>РК "Лотос"</t>
  </si>
  <si>
    <t>3005000377</t>
  </si>
  <si>
    <t>28-11-2002 00:00:00</t>
  </si>
  <si>
    <t>01-01-2015 00:00:00</t>
  </si>
  <si>
    <t>26322297</t>
  </si>
  <si>
    <t>Северо-Кавказский филиал ООО "Газпром энерго"</t>
  </si>
  <si>
    <t>263602001</t>
  </si>
  <si>
    <t>27-07-1998 00:00:00</t>
  </si>
  <si>
    <t>15-09-2005 00:00:00</t>
  </si>
  <si>
    <t>30992324</t>
  </si>
  <si>
    <t>УМП "Алтынкомунпромхоз"</t>
  </si>
  <si>
    <t>3019013866</t>
  </si>
  <si>
    <t>30-01-2015 00:00:00</t>
  </si>
  <si>
    <t>30924390</t>
  </si>
  <si>
    <t>УМП "Володарский"</t>
  </si>
  <si>
    <t>3019000377</t>
  </si>
  <si>
    <t>10-08-2010 00:00:00</t>
  </si>
  <si>
    <t>22-05-2018 00:00:00</t>
  </si>
  <si>
    <t>30913509</t>
  </si>
  <si>
    <t>УМП "КОММУНАЛЬНЫЙ РЕСУРС" АДМИНИСТРАЦИИ МО "ТУМАКСКИЙ СЕЛЬСОВЕТ"</t>
  </si>
  <si>
    <t>3019020888</t>
  </si>
  <si>
    <t>11-01-2017 00:00:00</t>
  </si>
  <si>
    <t>12-05-2017 00:00:00</t>
  </si>
  <si>
    <t>Оказание услуг в сфере водоотведения и очистки сточных вод</t>
  </si>
  <si>
    <t>Прием сточных вод :: Очистка сточных вод :: Транспортировка сточных вод</t>
  </si>
  <si>
    <t>/ВО/Прием сточных вод :: /ВО/Очистка сточных вод :: /ВО/Транспортировка сточных вод</t>
  </si>
  <si>
    <t>26-12-2016 00:00:00</t>
  </si>
  <si>
    <t>13-07-2016 00:00:00</t>
  </si>
  <si>
    <t>Оказание услуг в сфере водоотведения</t>
  </si>
  <si>
    <t>Прием сточных вод :: Транспортировка сточных вод</t>
  </si>
  <si>
    <t>/ВО/Прием сточных вод :: /ВО/Транспортировка сточных вод</t>
  </si>
  <si>
    <t>15-01-2018 00:00:00</t>
  </si>
  <si>
    <t>Очистка сточных вод :: Транспортировка сточных вод</t>
  </si>
  <si>
    <t>/ВО/Очистка сточных вод :: /ВО/Транспортировка сточных вод</t>
  </si>
  <si>
    <t>Прием сточных вод</t>
  </si>
  <si>
    <t>/ВО/Прием сточных вод</t>
  </si>
  <si>
    <t>Прием сточных вод :: Очистка сточных вод</t>
  </si>
  <si>
    <t>/ВО/Прием сточных вод :: /ВО/Очистка сточных вод</t>
  </si>
  <si>
    <t>11-08-2017 00:00:00</t>
  </si>
  <si>
    <t>Оказание услуг по перекачке</t>
  </si>
  <si>
    <t>Транспортировка сточных вод</t>
  </si>
  <si>
    <t>/ВО/Транспортировка сточных вод</t>
  </si>
  <si>
    <t>01-07-2020 00:00:00</t>
  </si>
  <si>
    <t>31-12-2021 00:00:00</t>
  </si>
  <si>
    <t>Оказание услуг в сфере очистки сточных вод</t>
  </si>
  <si>
    <t>Очистка сточных вод</t>
  </si>
  <si>
    <t>/ВО/Очистка сточных вод</t>
  </si>
  <si>
    <t>03-09-2020 00:00:00</t>
  </si>
  <si>
    <t>31230070</t>
  </si>
  <si>
    <t>ФГУП "Росморпорт"</t>
  </si>
  <si>
    <t>7702352454</t>
  </si>
  <si>
    <t>301802001</t>
  </si>
  <si>
    <t>01-02-2019 00:00:00</t>
  </si>
  <si>
    <t>31711872</t>
  </si>
  <si>
    <t>Индивидуальный предприниматель Вахаев Магомед - Эми Эльтмарович</t>
  </si>
  <si>
    <t>301302420001</t>
  </si>
  <si>
    <t>21-11-2023 00:00:00</t>
  </si>
  <si>
    <t>Транспортирование твердых коммунальных отходов</t>
  </si>
  <si>
    <t>/ТКО/Транспортирование твердых коммунальных отходов</t>
  </si>
  <si>
    <t>31478258</t>
  </si>
  <si>
    <t>МБУ ЗАТО Знаменск "Коммунальное хозяйство"</t>
  </si>
  <si>
    <t>3022008217</t>
  </si>
  <si>
    <t>03-03-2021 00:00:00</t>
  </si>
  <si>
    <t>/ТКО/Захоронение твердых коммунальных отходов</t>
  </si>
  <si>
    <t>26799907</t>
  </si>
  <si>
    <t>Межмуниципальное ООО "Эколог"</t>
  </si>
  <si>
    <t>3007009625</t>
  </si>
  <si>
    <t>300701001</t>
  </si>
  <si>
    <t>21-01-2010 00:00:00</t>
  </si>
  <si>
    <t>30939262</t>
  </si>
  <si>
    <t>ООО "ЧИСТАЯ СРЕДА"</t>
  </si>
  <si>
    <t>3015109373</t>
  </si>
  <si>
    <t>772001001</t>
  </si>
  <si>
    <t>10-02-2017 00:00:00</t>
  </si>
  <si>
    <t>01-05-2017 00:00:00</t>
  </si>
  <si>
    <t>/ТКО/Оказание услуги по обращению с твердыми коммунальными отходами региональным оператором</t>
  </si>
  <si>
    <t>27-07-2018 00:00:00</t>
  </si>
  <si>
    <t>Обработка твердых коммунальных отходов :: Захоронение твердых коммунальных отходов</t>
  </si>
  <si>
    <t>/ТКО/Обработка твердых коммунальных отходов :: /ТКО/Захоронение твердых коммунальных отходов</t>
  </si>
  <si>
    <t>30908955</t>
  </si>
  <si>
    <t>ООО "ЭкоЦентр"</t>
  </si>
  <si>
    <t>3444177534</t>
  </si>
  <si>
    <t>770501001</t>
  </si>
  <si>
    <t>NSRF</t>
  </si>
  <si>
    <t>MR_NAME</t>
  </si>
  <si>
    <t>OKTMO_MR_NAME</t>
  </si>
  <si>
    <t>MO_NAME</t>
  </si>
  <si>
    <t>OKTMO_NAME</t>
  </si>
  <si>
    <t>TYPE</t>
  </si>
  <si>
    <t>MR_ID</t>
  </si>
  <si>
    <t>Ахтубинский муниципальный район</t>
  </si>
  <si>
    <t>12605000</t>
  </si>
  <si>
    <t>муниципальный район</t>
  </si>
  <si>
    <t>Батаевский сельсовет</t>
  </si>
  <si>
    <t>12605404</t>
  </si>
  <si>
    <t>сельское поселение</t>
  </si>
  <si>
    <t>Город Ахтубинск</t>
  </si>
  <si>
    <t>12605101</t>
  </si>
  <si>
    <t>городское поселение, в состав которого входит город</t>
  </si>
  <si>
    <t>Золотухинский сельсовет</t>
  </si>
  <si>
    <t>12605412</t>
  </si>
  <si>
    <t>Капустиноярский сельсовет</t>
  </si>
  <si>
    <t>12605414</t>
  </si>
  <si>
    <t>Покровский сельсовет</t>
  </si>
  <si>
    <t>12605424</t>
  </si>
  <si>
    <t>Пологозаймищенский сельсовет</t>
  </si>
  <si>
    <t>12605428</t>
  </si>
  <si>
    <t>Посёлок Нижний Баскунчак</t>
  </si>
  <si>
    <t>12605168</t>
  </si>
  <si>
    <t>городское поселение, в состав которого входит поселок</t>
  </si>
  <si>
    <t>Поселок Верхний Баскунчак</t>
  </si>
  <si>
    <t>12605157</t>
  </si>
  <si>
    <t>Село Болхуны</t>
  </si>
  <si>
    <t>12605408</t>
  </si>
  <si>
    <t>Село Ново-Николаевка</t>
  </si>
  <si>
    <t>12605416</t>
  </si>
  <si>
    <t>Село Пироговка</t>
  </si>
  <si>
    <t>12605420</t>
  </si>
  <si>
    <t>Село Садовое</t>
  </si>
  <si>
    <t>12605432</t>
  </si>
  <si>
    <t>Сокрутовский сельсовет</t>
  </si>
  <si>
    <t>12605436</t>
  </si>
  <si>
    <t>Удаченский сельсовет</t>
  </si>
  <si>
    <t>12605440</t>
  </si>
  <si>
    <t>Успенский сельсовет</t>
  </si>
  <si>
    <t>12605442</t>
  </si>
  <si>
    <t>Володарский муниципальный район</t>
  </si>
  <si>
    <t>12610000</t>
  </si>
  <si>
    <t>Актюбинский сельсовет</t>
  </si>
  <si>
    <t>12610404</t>
  </si>
  <si>
    <t>Алтынжарский сельсовет</t>
  </si>
  <si>
    <t>12610408</t>
  </si>
  <si>
    <t>Большемогойский сельсовет</t>
  </si>
  <si>
    <t>12610412</t>
  </si>
  <si>
    <t>Калининский сельсовет</t>
  </si>
  <si>
    <t>12610420</t>
  </si>
  <si>
    <t>Козловский сельсовет</t>
  </si>
  <si>
    <t>12610424</t>
  </si>
  <si>
    <t>Крутовский сельсовет</t>
  </si>
  <si>
    <t>12610426</t>
  </si>
  <si>
    <t>Маковский сельсовет</t>
  </si>
  <si>
    <t>12610428</t>
  </si>
  <si>
    <t>Марфинский сельсовет</t>
  </si>
  <si>
    <t>12610432</t>
  </si>
  <si>
    <t>Мултановский сельсовет</t>
  </si>
  <si>
    <t>12610436</t>
  </si>
  <si>
    <t>Новинский сельсовет</t>
  </si>
  <si>
    <t>12610440</t>
  </si>
  <si>
    <t>Новокрасинский сельсовет</t>
  </si>
  <si>
    <t>12610444</t>
  </si>
  <si>
    <t>Поселок Винный</t>
  </si>
  <si>
    <t>12610414</t>
  </si>
  <si>
    <t>Поселок Володарский</t>
  </si>
  <si>
    <t>12610468</t>
  </si>
  <si>
    <t>Село Зеленга</t>
  </si>
  <si>
    <t>12610416</t>
  </si>
  <si>
    <t>Сизобугорский сельсовет</t>
  </si>
  <si>
    <t>12610448</t>
  </si>
  <si>
    <t>Султановский сельсовет</t>
  </si>
  <si>
    <t>12610450</t>
  </si>
  <si>
    <t>Тишковский сельсовет</t>
  </si>
  <si>
    <t>12610456</t>
  </si>
  <si>
    <t>Тулугановский сельсовет</t>
  </si>
  <si>
    <t>12610458</t>
  </si>
  <si>
    <t>Тумакский сельсовет</t>
  </si>
  <si>
    <t>12610459</t>
  </si>
  <si>
    <t>Хуторской сельсовет</t>
  </si>
  <si>
    <t>12610460</t>
  </si>
  <si>
    <t>Цветновский сельсовет</t>
  </si>
  <si>
    <t>12610464</t>
  </si>
  <si>
    <t>городской округ</t>
  </si>
  <si>
    <t>Енотаевский муниципальный район</t>
  </si>
  <si>
    <t>12615000</t>
  </si>
  <si>
    <t>Ветлянинский сельсовет</t>
  </si>
  <si>
    <t>12615404</t>
  </si>
  <si>
    <t>Владимировский сельсовет</t>
  </si>
  <si>
    <t>12615408</t>
  </si>
  <si>
    <t>Восточинский сельсовет</t>
  </si>
  <si>
    <t>12615410</t>
  </si>
  <si>
    <t>Грачевский сельсовет</t>
  </si>
  <si>
    <t>12615412</t>
  </si>
  <si>
    <t>Замьянский сельсовет</t>
  </si>
  <si>
    <t>12615420</t>
  </si>
  <si>
    <t>Иваново-Николаевский сельсовет</t>
  </si>
  <si>
    <t>12615424</t>
  </si>
  <si>
    <t>Косикинский сельсовет</t>
  </si>
  <si>
    <t>12615430</t>
  </si>
  <si>
    <t>Никольский сельсовет</t>
  </si>
  <si>
    <t>12615433</t>
  </si>
  <si>
    <t>Пришибинский сельсовет</t>
  </si>
  <si>
    <t>12615436</t>
  </si>
  <si>
    <t>Село Енотаевка</t>
  </si>
  <si>
    <t>12615416</t>
  </si>
  <si>
    <t>Село Копановка</t>
  </si>
  <si>
    <t>12615428</t>
  </si>
  <si>
    <t>Средневолжский сельсовет</t>
  </si>
  <si>
    <t>12615444</t>
  </si>
  <si>
    <t>Табун-Аральский сельсовет</t>
  </si>
  <si>
    <t>12615440</t>
  </si>
  <si>
    <t>Федоровский сельсовет</t>
  </si>
  <si>
    <t>12615448</t>
  </si>
  <si>
    <t>ЗАТО Знаменск</t>
  </si>
  <si>
    <t>12719000</t>
  </si>
  <si>
    <t>Икрянинский муниципальный район</t>
  </si>
  <si>
    <t>12620000</t>
  </si>
  <si>
    <t>Бахтемирский сельсовет</t>
  </si>
  <si>
    <t>12620404</t>
  </si>
  <si>
    <t>Житнинский сельсовет</t>
  </si>
  <si>
    <t>12620412</t>
  </si>
  <si>
    <t>Икрянинский сельсовет</t>
  </si>
  <si>
    <t>12620420</t>
  </si>
  <si>
    <t>Маячнинский сельсовет</t>
  </si>
  <si>
    <t>12620424</t>
  </si>
  <si>
    <t>60</t>
  </si>
  <si>
    <t>Мумринский сельсовет</t>
  </si>
  <si>
    <t>12620425</t>
  </si>
  <si>
    <t>61</t>
  </si>
  <si>
    <t>Ново-Булгаринский сельсовет</t>
  </si>
  <si>
    <t>12620426</t>
  </si>
  <si>
    <t>62</t>
  </si>
  <si>
    <t>Оранжерейнинский сельсовет</t>
  </si>
  <si>
    <t>12620429</t>
  </si>
  <si>
    <t>63</t>
  </si>
  <si>
    <t>Рабочий посёлок Ильинка</t>
  </si>
  <si>
    <t>12620157</t>
  </si>
  <si>
    <t>64</t>
  </si>
  <si>
    <t>Рабочий поселок Красные Баррикады</t>
  </si>
  <si>
    <t>12620162</t>
  </si>
  <si>
    <t>65</t>
  </si>
  <si>
    <t>Седлистинский сельсовет</t>
  </si>
  <si>
    <t>12620432</t>
  </si>
  <si>
    <t>Село Трудфронт</t>
  </si>
  <si>
    <t>12620438</t>
  </si>
  <si>
    <t>67</t>
  </si>
  <si>
    <t>Сергиевский сельсовет</t>
  </si>
  <si>
    <t>12620436</t>
  </si>
  <si>
    <t>Чулпанский сельсовет</t>
  </si>
  <si>
    <t>12620444</t>
  </si>
  <si>
    <t>69</t>
  </si>
  <si>
    <t>Камызякский муниципальный район</t>
  </si>
  <si>
    <t>12625000</t>
  </si>
  <si>
    <t>Верхнекалиновский сельсовет</t>
  </si>
  <si>
    <t>12625404</t>
  </si>
  <si>
    <t>70</t>
  </si>
  <si>
    <t>Город Камызяк</t>
  </si>
  <si>
    <t>12625101</t>
  </si>
  <si>
    <t>71</t>
  </si>
  <si>
    <t>Жан-Аульский сельсовет</t>
  </si>
  <si>
    <t>12625406</t>
  </si>
  <si>
    <t>72</t>
  </si>
  <si>
    <t>Иванчугский сельсовет</t>
  </si>
  <si>
    <t>12625408</t>
  </si>
  <si>
    <t>73</t>
  </si>
  <si>
    <t>74</t>
  </si>
  <si>
    <t>Каралатский сельсовет</t>
  </si>
  <si>
    <t>12625416</t>
  </si>
  <si>
    <t>75</t>
  </si>
  <si>
    <t>Караулинский сельсовет</t>
  </si>
  <si>
    <t>12625420</t>
  </si>
  <si>
    <t>76</t>
  </si>
  <si>
    <t>Николо-Комаровский сельсовет</t>
  </si>
  <si>
    <t>12625428</t>
  </si>
  <si>
    <t>77</t>
  </si>
  <si>
    <t>Новотузуклейский сельсовет</t>
  </si>
  <si>
    <t>12625432</t>
  </si>
  <si>
    <t>78</t>
  </si>
  <si>
    <t>Образцово-Травинский сельсовет</t>
  </si>
  <si>
    <t>12625436</t>
  </si>
  <si>
    <t>79</t>
  </si>
  <si>
    <t>Поселок Волго-Каспийский</t>
  </si>
  <si>
    <t>12625157</t>
  </si>
  <si>
    <t>80</t>
  </si>
  <si>
    <t>Поселок Кировский</t>
  </si>
  <si>
    <t>12625162</t>
  </si>
  <si>
    <t>81</t>
  </si>
  <si>
    <t>Раздорский сельсовет</t>
  </si>
  <si>
    <t>12625444</t>
  </si>
  <si>
    <t>82</t>
  </si>
  <si>
    <t>Самосдельский сельсовет</t>
  </si>
  <si>
    <t>12625448</t>
  </si>
  <si>
    <t>83</t>
  </si>
  <si>
    <t>Семибугоринский сельсовет</t>
  </si>
  <si>
    <t>12625452</t>
  </si>
  <si>
    <t>84</t>
  </si>
  <si>
    <t>Чаганский сельсовет</t>
  </si>
  <si>
    <t>12625460</t>
  </si>
  <si>
    <t>85</t>
  </si>
  <si>
    <t>Красноярский муниципальный район</t>
  </si>
  <si>
    <t>12630000</t>
  </si>
  <si>
    <t>Аксарайский сельсовет</t>
  </si>
  <si>
    <t>12630404</t>
  </si>
  <si>
    <t>86</t>
  </si>
  <si>
    <t>Ахтубинский сельсовет</t>
  </si>
  <si>
    <t>12630406</t>
  </si>
  <si>
    <t>87</t>
  </si>
  <si>
    <t>Байбекский сельсовет</t>
  </si>
  <si>
    <t>12630408</t>
  </si>
  <si>
    <t>88</t>
  </si>
  <si>
    <t>Бузанский сельсовет</t>
  </si>
  <si>
    <t>12630412</t>
  </si>
  <si>
    <t>89</t>
  </si>
  <si>
    <t>Ватаженский сельсовет</t>
  </si>
  <si>
    <t>12630416</t>
  </si>
  <si>
    <t>90</t>
  </si>
  <si>
    <t>Джанайский сельсовет</t>
  </si>
  <si>
    <t>12630424</t>
  </si>
  <si>
    <t>91</t>
  </si>
  <si>
    <t>92</t>
  </si>
  <si>
    <t>Красноярский сельсовет</t>
  </si>
  <si>
    <t>12630436</t>
  </si>
  <si>
    <t>93</t>
  </si>
  <si>
    <t>Сеитовский сельсовет</t>
  </si>
  <si>
    <t>12630444</t>
  </si>
  <si>
    <t>94</t>
  </si>
  <si>
    <t>Лиманский муниципальный район</t>
  </si>
  <si>
    <t>12635000</t>
  </si>
  <si>
    <t>Зензелинский сельсовет</t>
  </si>
  <si>
    <t>12635412</t>
  </si>
  <si>
    <t>95</t>
  </si>
  <si>
    <t>96</t>
  </si>
  <si>
    <t>Олинский сельсовет</t>
  </si>
  <si>
    <t>12635436</t>
  </si>
  <si>
    <t>97</t>
  </si>
  <si>
    <t>Промысловский сельсовет</t>
  </si>
  <si>
    <t>12635440</t>
  </si>
  <si>
    <t>98</t>
  </si>
  <si>
    <t>Рабочий поселок Лиман</t>
  </si>
  <si>
    <t>12635151</t>
  </si>
  <si>
    <t>99</t>
  </si>
  <si>
    <t>Яндыковский сельсовет</t>
  </si>
  <si>
    <t>12635444</t>
  </si>
  <si>
    <t>100</t>
  </si>
  <si>
    <t>Наримановский муниципальный район</t>
  </si>
  <si>
    <t>12640000</t>
  </si>
  <si>
    <t>Астраханский сельсовет</t>
  </si>
  <si>
    <t>12640404</t>
  </si>
  <si>
    <t>101</t>
  </si>
  <si>
    <t>Ахматовский сельсовет</t>
  </si>
  <si>
    <t>12640406</t>
  </si>
  <si>
    <t>102</t>
  </si>
  <si>
    <t>Барановский сельсовет</t>
  </si>
  <si>
    <t>12640408</t>
  </si>
  <si>
    <t>103</t>
  </si>
  <si>
    <t>Волжский сельсовет</t>
  </si>
  <si>
    <t>12640412</t>
  </si>
  <si>
    <t>104</t>
  </si>
  <si>
    <t>Город Нариманов</t>
  </si>
  <si>
    <t>12640101</t>
  </si>
  <si>
    <t>105</t>
  </si>
  <si>
    <t>Линейнинский сельсовет</t>
  </si>
  <si>
    <t>12640428</t>
  </si>
  <si>
    <t>106</t>
  </si>
  <si>
    <t>107</t>
  </si>
  <si>
    <t>Николаевский сельсовет</t>
  </si>
  <si>
    <t>12640434</t>
  </si>
  <si>
    <t>108</t>
  </si>
  <si>
    <t>Прикаспийский сельсовет</t>
  </si>
  <si>
    <t>12640442</t>
  </si>
  <si>
    <t>109</t>
  </si>
  <si>
    <t>Разночиновский сельсовет</t>
  </si>
  <si>
    <t>12640444</t>
  </si>
  <si>
    <t>110</t>
  </si>
  <si>
    <t>Рассветский сельсовет</t>
  </si>
  <si>
    <t>12640448</t>
  </si>
  <si>
    <t>111</t>
  </si>
  <si>
    <t>Солянский сельсовет</t>
  </si>
  <si>
    <t>12640452</t>
  </si>
  <si>
    <t>112</t>
  </si>
  <si>
    <t>Старокучергановский сельсовет</t>
  </si>
  <si>
    <t>12640456</t>
  </si>
  <si>
    <t>113</t>
  </si>
  <si>
    <t>Приволжский муниципальный район</t>
  </si>
  <si>
    <t>12642000</t>
  </si>
  <si>
    <t>Бирюковский сельсовет</t>
  </si>
  <si>
    <t>12642408</t>
  </si>
  <si>
    <t>114</t>
  </si>
  <si>
    <t>Евпраксинский сельсовет</t>
  </si>
  <si>
    <t>12642416</t>
  </si>
  <si>
    <t>115</t>
  </si>
  <si>
    <t>Килинчинский сельсовет</t>
  </si>
  <si>
    <t>12642420</t>
  </si>
  <si>
    <t>116</t>
  </si>
  <si>
    <t>Началовский сельсовет</t>
  </si>
  <si>
    <t>12642432</t>
  </si>
  <si>
    <t>117</t>
  </si>
  <si>
    <t>Новорычинский сельсовет</t>
  </si>
  <si>
    <t>12642436</t>
  </si>
  <si>
    <t>118</t>
  </si>
  <si>
    <t>119</t>
  </si>
  <si>
    <t>Село Карагали</t>
  </si>
  <si>
    <t>12642418</t>
  </si>
  <si>
    <t>120</t>
  </si>
  <si>
    <t>Село Осыпной Бугор</t>
  </si>
  <si>
    <t>12642439</t>
  </si>
  <si>
    <t>121</t>
  </si>
  <si>
    <t>Село Растопуловка</t>
  </si>
  <si>
    <t>12642446</t>
  </si>
  <si>
    <t>122</t>
  </si>
  <si>
    <t>Татаробашмаковский сельсовет</t>
  </si>
  <si>
    <t>12642460</t>
  </si>
  <si>
    <t>123</t>
  </si>
  <si>
    <t>Трехпротокский сельсовет</t>
  </si>
  <si>
    <t>12642464</t>
  </si>
  <si>
    <t>124</t>
  </si>
  <si>
    <t>Фунтовский сельсовет</t>
  </si>
  <si>
    <t>12642466</t>
  </si>
  <si>
    <t>125</t>
  </si>
  <si>
    <t>Яксатовский сельсовет</t>
  </si>
  <si>
    <t>12642468</t>
  </si>
  <si>
    <t>126</t>
  </si>
  <si>
    <t>Харабалинский муниципальный район</t>
  </si>
  <si>
    <t>12645000</t>
  </si>
  <si>
    <t>Воленский сельсовет</t>
  </si>
  <si>
    <t>12645408</t>
  </si>
  <si>
    <t>127</t>
  </si>
  <si>
    <t>Город Харабали</t>
  </si>
  <si>
    <t>12645101</t>
  </si>
  <si>
    <t>128</t>
  </si>
  <si>
    <t>Заволжский сельсовет</t>
  </si>
  <si>
    <t>12645412</t>
  </si>
  <si>
    <t>129</t>
  </si>
  <si>
    <t>Кочковатский сельсовет</t>
  </si>
  <si>
    <t>12645414</t>
  </si>
  <si>
    <t>130</t>
  </si>
  <si>
    <t>Михайловский сельсовет</t>
  </si>
  <si>
    <t>12645416</t>
  </si>
  <si>
    <t>131</t>
  </si>
  <si>
    <t>Речновский сельсовет</t>
  </si>
  <si>
    <t>12645418</t>
  </si>
  <si>
    <t>132</t>
  </si>
  <si>
    <t>Сасыкольский сельсовет</t>
  </si>
  <si>
    <t>12645420</t>
  </si>
  <si>
    <t>133</t>
  </si>
  <si>
    <t>Селитренский сельсовет</t>
  </si>
  <si>
    <t>12645424</t>
  </si>
  <si>
    <t>134</t>
  </si>
  <si>
    <t>Тамбовский сельсовет</t>
  </si>
  <si>
    <t>12645428</t>
  </si>
  <si>
    <t>135</t>
  </si>
  <si>
    <t>136</t>
  </si>
  <si>
    <t>Хошеутовский сельсовет</t>
  </si>
  <si>
    <t>12645436</t>
  </si>
  <si>
    <t>137</t>
  </si>
  <si>
    <t>Черноярский муниципальный район</t>
  </si>
  <si>
    <t>12650000</t>
  </si>
  <si>
    <t>Село Ушаковка</t>
  </si>
  <si>
    <t>12650432</t>
  </si>
  <si>
    <t>138</t>
  </si>
  <si>
    <t>139</t>
  </si>
  <si>
    <t>Черноярский сельсовет</t>
  </si>
  <si>
    <t>12650436</t>
  </si>
  <si>
    <t>140</t>
  </si>
  <si>
    <t>NUMBER_POINT</t>
  </si>
  <si>
    <t>L_NAME</t>
  </si>
  <si>
    <t>L_START_DATE</t>
  </si>
  <si>
    <t>L_END_DATE</t>
  </si>
  <si>
    <t>TER_NAME</t>
  </si>
  <si>
    <t>Территория 1</t>
  </si>
  <si>
    <t>ID_TARIFF_NAME</t>
  </si>
  <si>
    <t>TARIFF_NAME</t>
  </si>
  <si>
    <t>VED_NAME</t>
  </si>
  <si>
    <t>4189703</t>
  </si>
  <si>
    <t>4189704</t>
  </si>
  <si>
    <t>ID</t>
  </si>
  <si>
    <t>LINK_NAME</t>
  </si>
  <si>
    <t>https://portal.eias.ru/Portal/DownloadPage.aspx?type=12&amp;guid=????????-????-????-????-????????????</t>
  </si>
  <si>
    <t>ALL</t>
  </si>
  <si>
    <t>https://eias.fstrf.ru/disclo/get_file?p_guid=????????-????-????-????-????????????</t>
  </si>
  <si>
    <t>Форма</t>
  </si>
  <si>
    <t>Листы</t>
  </si>
  <si>
    <t>optOrganization</t>
  </si>
  <si>
    <t>optROiV</t>
  </si>
  <si>
    <t>optHEAT</t>
  </si>
  <si>
    <t>optCOLDVSNA</t>
  </si>
  <si>
    <t>optVOTV</t>
  </si>
  <si>
    <t>optHOTVSNA</t>
  </si>
  <si>
    <t>optTKO</t>
  </si>
  <si>
    <t>optORG</t>
  </si>
  <si>
    <t>optPRICE</t>
  </si>
  <si>
    <t>optBALANCE</t>
  </si>
  <si>
    <t>optQUARTER</t>
  </si>
  <si>
    <t>optINVEST</t>
  </si>
  <si>
    <t>optTERMS</t>
  </si>
  <si>
    <t>optREQUEST</t>
  </si>
  <si>
    <t>modSave</t>
  </si>
  <si>
    <t>Расчетные листы</t>
  </si>
  <si>
    <t>Скрытые листы</t>
  </si>
  <si>
    <t>Instruction</t>
  </si>
  <si>
    <t>DATA_FORMS</t>
  </si>
  <si>
    <t>modUpdTemplLogger</t>
  </si>
  <si>
    <t>DATA_NPA</t>
  </si>
  <si>
    <t>TITLE</t>
  </si>
  <si>
    <t>TEHSHEET</t>
  </si>
  <si>
    <t>TERRITORY</t>
  </si>
  <si>
    <t>TSH_et_union_hor</t>
  </si>
  <si>
    <t>DIFFERENTIATION</t>
  </si>
  <si>
    <t>modP_T_TERMS</t>
  </si>
  <si>
    <t>DIFFERENTIATION_TARIFF</t>
  </si>
  <si>
    <t>modMainProcedures</t>
  </si>
  <si>
    <t>DIFFERENTIATION_TKO</t>
  </si>
  <si>
    <t>modB_FHD</t>
  </si>
  <si>
    <t>ORG_INFO</t>
  </si>
  <si>
    <t>modB_FHD20</t>
  </si>
  <si>
    <t>ORG_VD</t>
  </si>
  <si>
    <t>modB_KNE</t>
  </si>
  <si>
    <t>ORG_VD_TKO</t>
  </si>
  <si>
    <t>modIP_MAIN</t>
  </si>
  <si>
    <t>ORG_TERRITORY</t>
  </si>
  <si>
    <t>modIP_QRE</t>
  </si>
  <si>
    <t>P_T_TERMS</t>
  </si>
  <si>
    <t>modIP_DETAILED</t>
  </si>
  <si>
    <t>TARIFF_A</t>
  </si>
  <si>
    <t>TSH_et_union_vert</t>
  </si>
  <si>
    <t>TARIFF_B</t>
  </si>
  <si>
    <t>modROIV</t>
  </si>
  <si>
    <t>TARIFF_F</t>
  </si>
  <si>
    <t>modDIFFERENTIATION_TKO</t>
  </si>
  <si>
    <t>TARIFF_C</t>
  </si>
  <si>
    <t>modTARIFF_HEAT</t>
  </si>
  <si>
    <t>TARIFF_E1</t>
  </si>
  <si>
    <t>modTARIFF_COLDVSNA</t>
  </si>
  <si>
    <t>TARIFF_E2</t>
  </si>
  <si>
    <t>modIP_FIN_PLAN</t>
  </si>
  <si>
    <t>TARIFF_D</t>
  </si>
  <si>
    <t>REESTR_IP</t>
  </si>
  <si>
    <t>TARIFF_G</t>
  </si>
  <si>
    <t>modfrmListIP</t>
  </si>
  <si>
    <t>Лист5</t>
  </si>
  <si>
    <t>modfrmActivity</t>
  </si>
  <si>
    <t>Лист6</t>
  </si>
  <si>
    <t>REESTR_DS</t>
  </si>
  <si>
    <t>Лист7</t>
  </si>
  <si>
    <t>REESTR_VED</t>
  </si>
  <si>
    <t>Лист14</t>
  </si>
  <si>
    <t>TSH_REESTR_MO</t>
  </si>
  <si>
    <t>P_PROCEDURE_TC</t>
  </si>
  <si>
    <t>TSH_REESTR_MO_FILTER</t>
  </si>
  <si>
    <t>R_B_Purch</t>
  </si>
  <si>
    <t>REESTR_LINK</t>
  </si>
  <si>
    <t>Q_PH</t>
  </si>
  <si>
    <t>modDIFFERENTIATION_TARIFF</t>
  </si>
  <si>
    <t>Q_TP</t>
  </si>
  <si>
    <t>modDIFFERENTIATION</t>
  </si>
  <si>
    <t>Q_LIMIT</t>
  </si>
  <si>
    <t>modTERRITORY</t>
  </si>
  <si>
    <t>R_Offer</t>
  </si>
  <si>
    <t>modQ_PH</t>
  </si>
  <si>
    <t>TARIFF_A_COLDVSNA</t>
  </si>
  <si>
    <t>modORG_INFO</t>
  </si>
  <si>
    <t>TARIFF_B_COLDVSNA</t>
  </si>
  <si>
    <t>modORG_VD</t>
  </si>
  <si>
    <t>TARIFF_C_COLDVSNA</t>
  </si>
  <si>
    <t>modORG_TERRITORY</t>
  </si>
  <si>
    <t>TARIFF_D_COLDVSNA</t>
  </si>
  <si>
    <t>modfrmSelectTerritory</t>
  </si>
  <si>
    <t>TARIFF_E_COLDVSNA</t>
  </si>
  <si>
    <t>modQ_TP</t>
  </si>
  <si>
    <t>B_FHD</t>
  </si>
  <si>
    <t>modQ_LIMIT</t>
  </si>
  <si>
    <t>B_FHD20</t>
  </si>
  <si>
    <t>modListTempFilter</t>
  </si>
  <si>
    <t>B_FHD_TKO</t>
  </si>
  <si>
    <t>modCheckCyan</t>
  </si>
  <si>
    <t>B_FHD_TKO_TRANS</t>
  </si>
  <si>
    <t>modHTTP</t>
  </si>
  <si>
    <t>B_KNE</t>
  </si>
  <si>
    <t>modfrmRezimChoose</t>
  </si>
  <si>
    <t>IP_MAIN</t>
  </si>
  <si>
    <t>modSheetMain</t>
  </si>
  <si>
    <t>IP_DETAILED</t>
  </si>
  <si>
    <t>REESTR_VT</t>
  </si>
  <si>
    <t>IP_FIN_PLAN</t>
  </si>
  <si>
    <t>modfrmReportMode</t>
  </si>
  <si>
    <t>IP_QRE</t>
  </si>
  <si>
    <t>modfrmReestrObj</t>
  </si>
  <si>
    <t>TARIFF_A_HOTVSNA</t>
  </si>
  <si>
    <t>AllSheetsInThisWorkbook</t>
  </si>
  <si>
    <t>TARIFF_B_HOTVSNA</t>
  </si>
  <si>
    <t>modInstruction</t>
  </si>
  <si>
    <t>TARIFF_C_HOTVSNA</t>
  </si>
  <si>
    <t>modRegion</t>
  </si>
  <si>
    <t>TARIFF_A_VOTV</t>
  </si>
  <si>
    <t>modReestr</t>
  </si>
  <si>
    <t>TARIFF_B_VOTV</t>
  </si>
  <si>
    <t>modfrmReestr</t>
  </si>
  <si>
    <t>TARIFF_C_VOTV</t>
  </si>
  <si>
    <t>modUpdTemplMain</t>
  </si>
  <si>
    <t>ED</t>
  </si>
  <si>
    <t>TSH_REESTR_ORG</t>
  </si>
  <si>
    <t>CHANGE_INFO</t>
  </si>
  <si>
    <t>modClassifierValidate</t>
  </si>
  <si>
    <t>ListComm</t>
  </si>
  <si>
    <t>modCHECK</t>
  </si>
  <si>
    <t>CHECK</t>
  </si>
  <si>
    <t>modHyp</t>
  </si>
  <si>
    <t>ROIV_INFO</t>
  </si>
  <si>
    <t>modServiceModule</t>
  </si>
  <si>
    <t>ROIV_ORG</t>
  </si>
  <si>
    <t>modInfo</t>
  </si>
  <si>
    <t>ROIV_CASE</t>
  </si>
  <si>
    <t>modTITLE</t>
  </si>
  <si>
    <t>ROIV_OTV</t>
  </si>
  <si>
    <t>modList02</t>
  </si>
  <si>
    <t>Лист1</t>
  </si>
  <si>
    <t>modED</t>
  </si>
  <si>
    <t>modList05</t>
  </si>
  <si>
    <t>modList06</t>
  </si>
  <si>
    <t>modCHANGE_INFO</t>
  </si>
  <si>
    <t>modList11</t>
  </si>
  <si>
    <t>modList12</t>
  </si>
  <si>
    <t>modfrmDateChoose</t>
  </si>
  <si>
    <t>modComm</t>
  </si>
  <si>
    <t>modThisWorkbook</t>
  </si>
  <si>
    <t>modfrmReestrMR</t>
  </si>
  <si>
    <t>modfrmCheckUpdates</t>
  </si>
  <si>
    <t>Титульный</t>
  </si>
  <si>
    <t>Для выбора того или иного источника публикации выполните двойной щелчок по синей ячейке напротив соответствующего источника._x000D_
ВНИМАНИЕ! Если Вы снимаете галочку с пункта, то будут скрыты и очищены соответствующие строки на листе "Форма 1.0.2"!_x000D_
_x000D_
Опубликование перечисленных в шаблоне показателей на сайте организации в сети Интернет и в печатных изданиях не обязательно, если данный шаблон предоставлен по системе ЕИАС (региональный сегмент).</t>
  </si>
  <si>
    <t>Обязательное опубликование на официальном сайте органа исполнительной власти субъекта Российской Федерации в области государственного регулирования цен (тарифов), и (или) на официальном сайте органа местного самоуправления поселения или городского округа в случае их наделения в соответствии с законом субъекта Российской Федерации полномочиями по государственному регулированию цен (тарифов)предусмотрено пунктом 3 (а) постановления Правительства №6 от 17.01.2013г.</t>
  </si>
  <si>
    <t>Задайте период регулирования, выбрав даты начала и окончания периода регулирования из календаря (иконка справа от указанной ячейки), либо введите дату непосредственно в ячейку в формате - 'ДД.ММ.ГГГГ'</t>
  </si>
  <si>
    <t>Шаблон заполняется раздельно по каждому виду тарифа</t>
  </si>
  <si>
    <t>В зависимости от указанного вида деятельности будут доступны для заполнения поля 'Производство', 'Передача' и 'Сбыт'</t>
  </si>
  <si>
    <t>Если выбрано 'да', на листах с разбивкой по потребителям доступны для заполнения графы для двухставочного ставочного тарифа по группам потребителей</t>
  </si>
  <si>
    <t>Если выбрано 'да', значения тарифов для групп потребителей на листах с разбивкой по потребителям заполнятся автоматически значениями первой группы</t>
  </si>
  <si>
    <t>Если выбрано значение «да» - в шаблоне будет сформирован лист «Форма 1.0.2» для уведомления органа регулирования о публикации информации в печатных изданиях</t>
  </si>
  <si>
    <t xml:space="preserve">По умолчанию установлено значение «первичное раскрытие информации» Это означает, что информация раскрывается в соответствии с установленными сроком и периодичностью. В случае если в уже отправленном шаблоне обнаружена ошибка или произошло изменение информации, исправленный шаблон необходимо отправить с типом отчета «изменения в раскрытой ранее информации». </t>
  </si>
  <si>
    <t>Укажите является ли данное юридическое лицо подразделением(филиалом) другой организации</t>
  </si>
  <si>
    <t>Ссылки на публикации</t>
  </si>
  <si>
    <t>Вводите адрес сайта, не нарушая цвет ячейки /если копируете гиперссылку из браузера, то выполните двойной щелчок по ячейке и только после этого можете вставить скопированный элемент/</t>
  </si>
  <si>
    <t>Обосновывающие материалы необходимо загружать с помощью "ЕИАС Мониторинг". Ссылка на инструкцию по загрузке обосновывающих материалов расположена на листе 'Инструкция' в п.'Методология заполнения'._x000D_
_x000D_
Ввводите ссылку, не нарушая цвет ячейки /если копируете гиперссылку из браузера, то выполните двойной щелчок по ячейке и только после этого можете вставить скопированный элемент/.</t>
  </si>
  <si>
    <t>Если для какого-либо пункта графы 'Наименование источника (сайта или печатного издания)' информация не раскрывалась, то в соответствующем поле укажите - 'не раскрывалась'</t>
  </si>
  <si>
    <t>Список МО</t>
  </si>
  <si>
    <t>В случае, если тариф не дифференцируется по системам теплоснабжения, перечислите все муниципальные районы, в которых организация осуществляет услуги теплоснабжения и сфере оказания услуг по передаче тепловой энергии</t>
  </si>
  <si>
    <t>В случае, если тариф не дифференцируется по системам теплоснабжения, перечислите все муниципальные образования, в которых организация осуществляет услуги теплоснабжения и сфере оказания услуг по передаче тепловой энергии</t>
  </si>
  <si>
    <t>Признак дифференциации тарифа</t>
  </si>
  <si>
    <t>В случае, если тариф не дифференцируется по системам теплоснабжения, укажите "1"._x000D_
Введите значение от 1 до 100, чтобы указать очередной условный порядковый номер системы теплоснабжения</t>
  </si>
  <si>
    <t>Стандарты</t>
  </si>
  <si>
    <t>В качестве примечания Вы можете указать единицу измерения</t>
  </si>
  <si>
    <t>Для корректного формирования Таблицы 25 Формы 1.10 необходимо задать разбивку по диаметрам и способу прокладки тепловых сетей</t>
  </si>
  <si>
    <t>Перечень тарифов</t>
  </si>
  <si>
    <t>Укажите «Да» в поле «Да/Нет», если дифференциация используется._x000D_
В поле «Описание» указывается наименование территории действия тарифа при наличии дифференциации тарифа по территориальному признаку._x000D_
В случае дифференциации тарифов по территориальному признаку информация по ним указывается в отдельных строках.</t>
  </si>
  <si>
    <t>Признаки дифференциации указываются в соответствии с п.6 ст.32 ФЗ РФ от 07.12.2011 №416-ФЗ</t>
  </si>
  <si>
    <t>Укажите «Да» в поле «Да/Нет», если дифференциация используется. В поле «Описание» укажите название ЦС ГВС или любое другое описание</t>
  </si>
  <si>
    <t>Территории</t>
  </si>
  <si>
    <t>Наименование территории действия тарифа для целей идентификации</t>
  </si>
  <si>
    <t>Муниципальные районы и муниципальные образования, на территории которых действует тариф</t>
  </si>
  <si>
    <t>Инструкция</t>
  </si>
  <si>
    <t>Нет доступных обновлений, версия отчёта актуальна</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</si>
</sst>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6">
    <numFmt numFmtId="164" formatCode="_-* #,##0.00[$€-1]_-;\-* #,##0.00[$€-1]_-;_-* &quot;-&quot;??[$€-1]_-"/>
    <numFmt numFmtId="165" formatCode="#,##0.0"/>
    <numFmt numFmtId="166" formatCode="#,##0.000"/>
    <numFmt numFmtId="167" formatCode="#,##0.0000"/>
    <numFmt numFmtId="168" formatCode="dd\.mm\.yyyy"/>
    <numFmt numFmtId="169" formatCode="000000"/>
  </numFmts>
  <fonts count="127">
    <font>
      <sz val="9"/>
      <color rgb="FF000000"/>
      <name val="Tahoma"/>
    </font>
    <font>
      <sz val="11"/>
      <color theme="1"/>
      <name val="Calibri"/>
      <scheme val="minor"/>
    </font>
    <font>
      <sz val="11"/>
      <color indexed="0"/>
      <name val="Calibri"/>
      <family val="2"/>
    </font>
    <font>
      <sz val="11"/>
      <color rgb="FF000080"/>
      <name val="Calibri"/>
    </font>
    <font>
      <sz val="12"/>
      <name val="Arial"/>
    </font>
    <font>
      <sz val="10"/>
      <name val="Helv"/>
    </font>
    <font>
      <sz val="8"/>
      <name val="Arial"/>
    </font>
    <font>
      <sz val="10"/>
      <name val="Tahoma"/>
    </font>
    <font>
      <sz val="9"/>
      <name val="Tahoma"/>
    </font>
    <font>
      <sz val="8"/>
      <name val="Palatino"/>
    </font>
    <font>
      <u/>
      <sz val="10"/>
      <color rgb="FF800080"/>
      <name val="Arial Cyr"/>
    </font>
    <font>
      <sz val="8"/>
      <name val="Helv"/>
    </font>
    <font>
      <sz val="11"/>
      <name val="Tahoma"/>
    </font>
    <font>
      <u/>
      <sz val="9"/>
      <color rgb="FF333399"/>
      <name val="Tahoma"/>
    </font>
    <font>
      <b/>
      <u/>
      <sz val="11"/>
      <color rgb="FF0000FF"/>
      <name val="Arial"/>
    </font>
    <font>
      <u/>
      <sz val="9"/>
      <color rgb="FF0000FF"/>
      <name val="Tahoma"/>
    </font>
    <font>
      <u/>
      <sz val="9"/>
      <color rgb="FF000080"/>
      <name val="Tahoma"/>
    </font>
    <font>
      <b/>
      <u/>
      <sz val="9"/>
      <color rgb="FF0000FF"/>
      <name val="Tahoma"/>
    </font>
    <font>
      <b/>
      <sz val="14"/>
      <name val="Franklin Gothic Medium"/>
    </font>
    <font>
      <b/>
      <sz val="9"/>
      <name val="Tahoma"/>
    </font>
    <font>
      <sz val="11"/>
      <color rgb="FF000000"/>
      <name val="Calibri"/>
    </font>
    <font>
      <sz val="10"/>
      <name val="Arial Cyr"/>
    </font>
    <font>
      <sz val="11"/>
      <color rgb="FF333333"/>
      <name val="Calibri"/>
    </font>
    <font>
      <sz val="8"/>
      <name val="Verdana"/>
    </font>
    <font>
      <u/>
      <sz val="9"/>
      <color theme="11"/>
      <name val="Tahoma"/>
    </font>
    <font>
      <sz val="9"/>
      <color rgb="FFFFFFFF"/>
      <name val="Tahoma"/>
    </font>
    <font>
      <sz val="9"/>
      <color rgb="FFCC0000"/>
      <name val="Tahoma"/>
    </font>
    <font>
      <sz val="16"/>
      <name val="Tahoma"/>
    </font>
    <font>
      <sz val="16"/>
      <color rgb="FFFFFFFF"/>
      <name val="Tahoma"/>
    </font>
    <font>
      <sz val="9"/>
      <color rgb="FFBCBCBC"/>
      <name val="Tahoma"/>
    </font>
    <font>
      <sz val="11"/>
      <color rgb="FFBCBCBC"/>
      <name val="Wingdings 2"/>
    </font>
    <font>
      <b/>
      <u/>
      <sz val="9"/>
      <name val="Tahoma"/>
    </font>
    <font>
      <sz val="11"/>
      <name val="Webdings2"/>
    </font>
    <font>
      <sz val="9"/>
      <color rgb="FF000080"/>
      <name val="Tahoma"/>
    </font>
    <font>
      <b/>
      <sz val="11"/>
      <color rgb="FF000000"/>
      <name val="Calibri"/>
    </font>
    <font>
      <sz val="11"/>
      <name val="Wingdings 2"/>
    </font>
    <font>
      <b/>
      <sz val="9"/>
      <color rgb="FFFFFFFF"/>
      <name val="Tahoma"/>
    </font>
    <font>
      <b/>
      <u/>
      <sz val="9"/>
      <color rgb="FF000080"/>
      <name val="Tahoma"/>
    </font>
    <font>
      <sz val="8"/>
      <name val="Tahoma"/>
    </font>
    <font>
      <sz val="9"/>
      <color theme="0"/>
      <name val="Tahoma"/>
    </font>
    <font>
      <sz val="1"/>
      <color theme="0"/>
      <name val="Tahoma"/>
    </font>
    <font>
      <b/>
      <sz val="1"/>
      <color theme="0"/>
      <name val="Calibri"/>
    </font>
    <font>
      <sz val="8"/>
      <color rgb="FFBCBCBC"/>
      <name val="Tahoma"/>
    </font>
    <font>
      <sz val="12"/>
      <color rgb="FF000000"/>
      <name val="Tahoma"/>
    </font>
    <font>
      <sz val="9"/>
      <color rgb="FFFF0000"/>
      <name val="Tahoma"/>
    </font>
    <font>
      <sz val="5"/>
      <color rgb="FFFF0000"/>
      <name val="Tahoma"/>
    </font>
    <font>
      <sz val="11"/>
      <color theme="0"/>
      <name val="Wingdings 2"/>
    </font>
    <font>
      <sz val="5"/>
      <color theme="0"/>
      <name val="Tahoma"/>
    </font>
    <font>
      <sz val="3"/>
      <color rgb="FFFFFFFF"/>
      <name val="Tahoma"/>
    </font>
    <font>
      <sz val="3"/>
      <color rgb="FFCC0000"/>
      <name val="Tahoma"/>
    </font>
    <font>
      <sz val="3"/>
      <name val="Tahoma"/>
    </font>
    <font>
      <sz val="3"/>
      <color rgb="FF000000"/>
      <name val="Tahoma"/>
    </font>
    <font>
      <sz val="3"/>
      <color rgb="FF993300"/>
      <name val="Tahoma"/>
    </font>
    <font>
      <sz val="1"/>
      <color rgb="FFFFFFFF"/>
      <name val="Tahoma"/>
    </font>
    <font>
      <sz val="18"/>
      <name val="Tahoma"/>
    </font>
    <font>
      <sz val="18"/>
      <color rgb="FF000000"/>
      <name val="Tahoma"/>
    </font>
    <font>
      <sz val="11"/>
      <color rgb="FF000000"/>
      <name val="Tahoma"/>
    </font>
    <font>
      <sz val="1"/>
      <color rgb="FF000000"/>
      <name val="Tahoma"/>
    </font>
    <font>
      <sz val="15"/>
      <color rgb="FF000000"/>
      <name val="Tahoma"/>
    </font>
    <font>
      <sz val="11"/>
      <color theme="0"/>
      <name val="Webdings2"/>
    </font>
    <font>
      <b/>
      <sz val="9"/>
      <color rgb="FF000080"/>
      <name val="Tahoma"/>
    </font>
    <font>
      <u/>
      <sz val="1"/>
      <color rgb="FF333399"/>
      <name val="Tahoma"/>
    </font>
    <font>
      <sz val="15"/>
      <name val="Tahoma"/>
    </font>
    <font>
      <sz val="1"/>
      <name val="Tahoma"/>
    </font>
    <font>
      <sz val="12"/>
      <color theme="0"/>
      <name val="Tahoma"/>
    </font>
    <font>
      <sz val="9"/>
      <color theme="1"/>
      <name val="Tahoma"/>
    </font>
    <font>
      <sz val="9"/>
      <color rgb="FF0066CC"/>
      <name val="Tahoma"/>
    </font>
    <font>
      <b/>
      <sz val="10"/>
      <color theme="1"/>
      <name val="Tahoma"/>
    </font>
    <font>
      <sz val="10"/>
      <color theme="1"/>
      <name val="Tahoma"/>
    </font>
    <font>
      <sz val="3"/>
      <color rgb="FFBCBCBC"/>
      <name val="Tahoma"/>
    </font>
    <font>
      <sz val="1"/>
      <color rgb="FFBCBCBC"/>
      <name val="Tahoma"/>
    </font>
    <font>
      <sz val="12"/>
      <name val="Marlett"/>
    </font>
    <font>
      <sz val="9"/>
      <color rgb="FFBCBCBC"/>
      <name val="Wingdings 2"/>
    </font>
    <font>
      <sz val="12"/>
      <name val="Tahoma"/>
    </font>
    <font>
      <sz val="15"/>
      <color theme="0"/>
      <name val="Tahoma"/>
    </font>
    <font>
      <sz val="1"/>
      <color rgb="FFFF0000"/>
      <name val="Tahoma"/>
    </font>
    <font>
      <b/>
      <sz val="11"/>
      <color theme="0"/>
      <name val="Calibri"/>
    </font>
    <font>
      <sz val="11"/>
      <color theme="0"/>
      <name val="Tahoma"/>
    </font>
    <font>
      <sz val="3"/>
      <color theme="0"/>
      <name val="Tahoma"/>
    </font>
    <font>
      <b/>
      <sz val="3"/>
      <name val="Tahoma"/>
    </font>
    <font>
      <b/>
      <sz val="9"/>
      <color rgb="FF0070C0"/>
      <name val="Tahoma"/>
    </font>
    <font>
      <sz val="7"/>
      <name val="Tahoma"/>
    </font>
    <font>
      <sz val="7"/>
      <color rgb="FFFFFFFF"/>
      <name val="Tahoma"/>
    </font>
    <font>
      <sz val="7"/>
      <color theme="0" tint="-0.499984740745262"/>
      <name val="Tahoma"/>
    </font>
    <font>
      <sz val="8"/>
      <color theme="0"/>
      <name val="Tahoma"/>
    </font>
    <font>
      <sz val="7"/>
      <color rgb="FF000000"/>
      <name val="Tahoma"/>
    </font>
    <font>
      <b/>
      <sz val="9"/>
      <color theme="0"/>
      <name val="Tahoma"/>
    </font>
    <font>
      <b/>
      <sz val="1"/>
      <color theme="0"/>
      <name val="Tahoma"/>
    </font>
    <font>
      <sz val="19"/>
      <color theme="0"/>
      <name val="Tahoma"/>
    </font>
    <font>
      <sz val="8"/>
      <color rgb="FFFFFFFF"/>
      <name val="Tahoma"/>
    </font>
    <font>
      <b/>
      <sz val="1"/>
      <name val="Tahoma"/>
    </font>
    <font>
      <b/>
      <sz val="1"/>
      <color rgb="FF000080"/>
      <name val="Tahoma"/>
    </font>
    <font>
      <b/>
      <sz val="10"/>
      <name val="Tahoma"/>
    </font>
    <font>
      <b/>
      <sz val="9"/>
      <color rgb="FF000000"/>
      <name val="Tahoma"/>
    </font>
    <font>
      <sz val="10"/>
      <color rgb="FF000000"/>
      <name val="Arial"/>
    </font>
    <font>
      <sz val="8"/>
      <color rgb="FF000080"/>
      <name val="Tahoma"/>
    </font>
    <font>
      <b/>
      <sz val="8"/>
      <color rgb="FFC0C0C0"/>
      <name val="Wingdings 2"/>
    </font>
    <font>
      <sz val="1"/>
      <name val="Webdings2"/>
    </font>
    <font>
      <sz val="1"/>
      <color theme="0"/>
      <name val="Webdings2"/>
    </font>
    <font>
      <b/>
      <sz val="9"/>
      <name val="Calibri"/>
    </font>
    <font>
      <sz val="1"/>
      <color rgb="FF000080"/>
      <name val="Tahoma"/>
    </font>
    <font>
      <sz val="9"/>
      <color theme="0"/>
      <name val="Webdings2"/>
    </font>
    <font>
      <sz val="1"/>
      <color theme="0"/>
      <name val="Wingdings 2"/>
    </font>
    <font>
      <sz val="18"/>
      <color theme="0"/>
      <name val="Tahoma"/>
    </font>
    <font>
      <sz val="9"/>
      <name val="Wingdings 2"/>
    </font>
    <font>
      <sz val="9"/>
      <color rgb="FFFFFFFF"/>
      <name val="Wingdings 2"/>
    </font>
    <font>
      <b/>
      <u/>
      <sz val="11"/>
      <color rgb="FF0000FF"/>
      <name val="Tahoma"/>
    </font>
    <font>
      <sz val="11"/>
      <color rgb="FFFFFFFF"/>
      <name val="Tahoma"/>
    </font>
    <font>
      <u/>
      <sz val="20"/>
      <color rgb="FF003366"/>
      <name val="Tahoma"/>
    </font>
    <font>
      <b/>
      <sz val="10"/>
      <color rgb="FF000000"/>
      <name val="Tahoma"/>
    </font>
    <font>
      <sz val="11"/>
      <color rgb="FF000000"/>
      <name val="Marlett"/>
    </font>
    <font>
      <sz val="10"/>
      <color rgb="FF000000"/>
      <name val="Tahoma"/>
    </font>
    <font>
      <sz val="14"/>
      <color rgb="FFBCBCBC"/>
      <name val="Calibri"/>
    </font>
    <font>
      <u/>
      <sz val="9"/>
      <name val="Tahoma"/>
    </font>
    <font>
      <u/>
      <sz val="9"/>
      <color theme="0"/>
      <name val="Tahoma"/>
    </font>
    <font>
      <u/>
      <sz val="1"/>
      <color theme="0"/>
      <name val="Tahoma"/>
    </font>
    <font>
      <u/>
      <sz val="9"/>
      <color rgb="FF000000"/>
      <name val="Tahoma"/>
    </font>
    <font>
      <u/>
      <sz val="8"/>
      <name val="Tahoma"/>
    </font>
    <font>
      <u/>
      <sz val="1"/>
      <color rgb="FF000000"/>
      <name val="Tahoma"/>
    </font>
    <font>
      <u/>
      <sz val="9"/>
      <color theme="10"/>
      <name val="Tahoma"/>
    </font>
    <font>
      <sz val="9"/>
      <color rgb="FF000000"/>
      <name val="Tahoma"/>
    </font>
    <font>
      <b/>
      <sz val="9"/>
      <name val="Tahoma"/>
      <family val="2"/>
      <charset val="204"/>
    </font>
    <font>
      <sz val="9"/>
      <name val="Tahoma"/>
      <family val="2"/>
      <charset val="204"/>
    </font>
    <font>
      <vertAlign val="superscript"/>
      <sz val="10"/>
      <name val="Tahoma"/>
      <family val="2"/>
      <charset val="204"/>
    </font>
    <font>
      <vertAlign val="superscript"/>
      <sz val="9"/>
      <name val="Tahoma"/>
      <family val="2"/>
      <charset val="204"/>
    </font>
    <font>
      <sz val="9"/>
      <color indexed="81"/>
      <name val="Tahoma"/>
      <family val="2"/>
    </font>
    <font>
      <sz val="9"/>
      <color indexed="81"/>
      <name val="Arial"/>
      <family val="2"/>
    </font>
  </fonts>
  <fills count="29">
    <fill>
      <patternFill patternType="none"/>
    </fill>
    <fill>
      <patternFill patternType="gray125"/>
    </fill>
    <fill>
      <patternFill patternType="solid">
        <fgColor theme="5" tint="0.79998168889431442"/>
        <bgColor indexed="65"/>
      </patternFill>
    </fill>
    <fill>
      <patternFill patternType="solid">
        <fgColor theme="7" tint="0.79998168889431442"/>
        <bgColor indexed="65"/>
      </patternFill>
    </fill>
    <fill>
      <patternFill patternType="solid">
        <fgColor theme="6" tint="0.39997558519241921"/>
        <bgColor indexed="65"/>
      </patternFill>
    </fill>
    <fill>
      <patternFill patternType="solid">
        <fgColor rgb="FFFFCC99"/>
      </patternFill>
    </fill>
    <fill>
      <patternFill patternType="solid">
        <fgColor rgb="FFFFFFC0"/>
      </patternFill>
    </fill>
    <fill>
      <patternFill patternType="solid">
        <fgColor rgb="FFC0C0C0"/>
      </patternFill>
    </fill>
    <fill>
      <patternFill patternType="solid">
        <fgColor rgb="FFBCBCBC"/>
      </patternFill>
    </fill>
    <fill>
      <patternFill patternType="solid">
        <fgColor rgb="FFFFFFFF"/>
      </patternFill>
    </fill>
    <fill>
      <patternFill patternType="solid">
        <fgColor rgb="FF000000"/>
      </patternFill>
    </fill>
    <fill>
      <patternFill patternType="solid">
        <fgColor rgb="FFD7EAD3"/>
      </patternFill>
    </fill>
    <fill>
      <patternFill patternType="solid">
        <fgColor rgb="FFFFB7B7"/>
      </patternFill>
    </fill>
    <fill>
      <patternFill patternType="lightDown">
        <fgColor rgb="FFC0C0C0"/>
      </patternFill>
    </fill>
    <fill>
      <patternFill patternType="solid">
        <fgColor rgb="FFE3FAFD"/>
      </patternFill>
    </fill>
    <fill>
      <patternFill patternType="solid">
        <fgColor rgb="FFB7E4FF"/>
      </patternFill>
    </fill>
    <fill>
      <patternFill patternType="solid">
        <fgColor theme="0"/>
      </patternFill>
    </fill>
    <fill>
      <patternFill patternType="solid">
        <fgColor rgb="FF8DB4E2"/>
      </patternFill>
    </fill>
    <fill>
      <patternFill patternType="solid">
        <fgColor theme="2" tint="-9.9978637043366805E-2"/>
        <bgColor indexed="65"/>
      </patternFill>
    </fill>
    <fill>
      <patternFill patternType="solid">
        <fgColor theme="9" tint="-0.249977111117893"/>
        <bgColor indexed="65"/>
      </patternFill>
    </fill>
    <fill>
      <patternFill patternType="solid">
        <fgColor theme="0" tint="-0.14999847407452621"/>
        <bgColor indexed="65"/>
      </patternFill>
    </fill>
    <fill>
      <patternFill patternType="solid">
        <fgColor rgb="FF0066CC"/>
      </patternFill>
    </fill>
    <fill>
      <patternFill patternType="solid">
        <fgColor rgb="FFFFFF00"/>
      </patternFill>
    </fill>
    <fill>
      <patternFill patternType="solid">
        <fgColor rgb="FFFF9900"/>
      </patternFill>
    </fill>
    <fill>
      <patternFill patternType="solid">
        <fgColor rgb="FF808000"/>
      </patternFill>
    </fill>
    <fill>
      <patternFill patternType="solid">
        <fgColor rgb="FFCC99FF"/>
      </patternFill>
    </fill>
    <fill>
      <patternFill patternType="lightDown">
        <fgColor rgb="FFB7E4FF"/>
        <bgColor rgb="FFFFFFFF"/>
      </patternFill>
    </fill>
    <fill>
      <patternFill patternType="solid">
        <fgColor rgb="FFD3DBDB"/>
      </patternFill>
    </fill>
    <fill>
      <patternFill patternType="solid">
        <fgColor rgb="FFEAEBEE"/>
      </patternFill>
    </fill>
  </fills>
  <borders count="69">
    <border>
      <left/>
      <right/>
      <top/>
      <bottom/>
      <diagonal/>
    </border>
    <border>
      <left style="thin">
        <color rgb="FFBCBCBC"/>
      </left>
      <right style="thin">
        <color rgb="FFBCBCBC"/>
      </right>
      <top style="thin">
        <color rgb="FFBCBCBC"/>
      </top>
      <bottom style="thin">
        <color rgb="FFBCBCBC"/>
      </bottom>
      <diagonal/>
    </border>
    <border>
      <left style="thick">
        <color rgb="FFBCBCBC"/>
      </left>
      <right style="thick">
        <color rgb="FFBCBCBC"/>
      </right>
      <top style="thick">
        <color rgb="FFBCBCBC"/>
      </top>
      <bottom style="thick">
        <color rgb="FFBCBCBC"/>
      </bottom>
      <diagonal/>
    </border>
    <border>
      <left style="thin">
        <color rgb="FF000000"/>
      </left>
      <right style="thin">
        <color rgb="FF000000"/>
      </right>
      <top style="thin">
        <color rgb="FF000000"/>
      </top>
      <bottom style="thin">
        <color rgb="FF000000"/>
      </bottom>
      <diagonal/>
    </border>
    <border>
      <left style="thin">
        <color rgb="FFC0C0C0"/>
      </left>
      <right style="thin">
        <color rgb="FFC0C0C0"/>
      </right>
      <top style="thin">
        <color rgb="FFC0C0C0"/>
      </top>
      <bottom style="thin">
        <color rgb="FFC0C0C0"/>
      </bottom>
      <diagonal/>
    </border>
    <border>
      <left/>
      <right style="thin">
        <color rgb="FFC0C0C0"/>
      </right>
      <top style="thin">
        <color rgb="FFC0C0C0"/>
      </top>
      <bottom style="thin">
        <color rgb="FFC0C0C0"/>
      </bottom>
      <diagonal/>
    </border>
    <border>
      <left style="thin">
        <color rgb="FFC0C0C0"/>
      </left>
      <right/>
      <top style="thin">
        <color rgb="FFC0C0C0"/>
      </top>
      <bottom style="thin">
        <color rgb="FFC0C0C0"/>
      </bottom>
      <diagonal/>
    </border>
    <border>
      <left/>
      <right/>
      <top style="thin">
        <color rgb="FFC0C0C0"/>
      </top>
      <bottom style="thin">
        <color rgb="FFC0C0C0"/>
      </bottom>
      <diagonal/>
    </border>
    <border>
      <left style="thin">
        <color rgb="FFD3DBDB"/>
      </left>
      <right style="thin">
        <color rgb="FFD3DBDB"/>
      </right>
      <top style="thin">
        <color rgb="FFD3DBDB"/>
      </top>
      <bottom style="thin">
        <color rgb="FFD3DBDB"/>
      </bottom>
      <diagonal/>
    </border>
    <border>
      <left style="thin">
        <color rgb="FFC0C0C0"/>
      </left>
      <right style="thin">
        <color rgb="FFC0C0C0"/>
      </right>
      <top style="thin">
        <color rgb="FFC0C0C0"/>
      </top>
      <bottom/>
      <diagonal/>
    </border>
    <border>
      <left/>
      <right/>
      <top style="dotted">
        <color rgb="FF000000"/>
      </top>
      <bottom style="dotted">
        <color rgb="FF000000"/>
      </bottom>
      <diagonal/>
    </border>
    <border>
      <left/>
      <right/>
      <top style="thin">
        <color rgb="FFC0C0C0"/>
      </top>
      <bottom/>
      <diagonal/>
    </border>
    <border>
      <left/>
      <right style="thin">
        <color rgb="FFC0C0C0"/>
      </right>
      <top style="thin">
        <color rgb="FFC0C0C0"/>
      </top>
      <bottom/>
      <diagonal/>
    </border>
    <border>
      <left/>
      <right/>
      <top style="thin">
        <color rgb="FFD3DBDB"/>
      </top>
      <bottom/>
      <diagonal/>
    </border>
    <border>
      <left style="thin">
        <color rgb="FFC0C0C0"/>
      </left>
      <right/>
      <top/>
      <bottom/>
      <diagonal/>
    </border>
    <border>
      <left style="thin">
        <color rgb="FFC0C0C0"/>
      </left>
      <right style="thin">
        <color rgb="FFC0C0C0"/>
      </right>
      <top/>
      <bottom style="thin">
        <color rgb="FFC0C0C0"/>
      </bottom>
      <diagonal/>
    </border>
    <border>
      <left/>
      <right style="thin">
        <color rgb="FFC0C0C0"/>
      </right>
      <top/>
      <bottom/>
      <diagonal/>
    </border>
    <border>
      <left style="thin">
        <color rgb="FFC0C0C0"/>
      </left>
      <right style="thin">
        <color rgb="FFC0C0C0"/>
      </right>
      <top style="thin">
        <color rgb="FFC0C0C0"/>
      </top>
      <bottom style="thin">
        <color rgb="FFBCBCBC"/>
      </bottom>
      <diagonal/>
    </border>
    <border>
      <left style="hair">
        <color rgb="FFC0C0C0"/>
      </left>
      <right/>
      <top style="hair">
        <color rgb="FFC0C0C0"/>
      </top>
      <bottom style="hair">
        <color rgb="FFC0C0C0"/>
      </bottom>
      <diagonal/>
    </border>
    <border>
      <left style="thin">
        <color rgb="FFC0C0C0"/>
      </left>
      <right/>
      <top/>
      <bottom style="thin">
        <color rgb="FFC0C0C0"/>
      </bottom>
      <diagonal/>
    </border>
    <border>
      <left/>
      <right/>
      <top/>
      <bottom style="thin">
        <color rgb="FFC0C0C0"/>
      </bottom>
      <diagonal/>
    </border>
    <border>
      <left style="thin">
        <color theme="0" tint="-0.249977111117893"/>
      </left>
      <right style="thin">
        <color rgb="FFC0C0C0"/>
      </right>
      <top style="thin">
        <color rgb="FFC0C0C0"/>
      </top>
      <bottom style="thin">
        <color rgb="FFC0C0C0"/>
      </bottom>
      <diagonal/>
    </border>
    <border>
      <left/>
      <right style="thin">
        <color rgb="FFC0C0C0"/>
      </right>
      <top/>
      <bottom style="thin">
        <color rgb="FFC0C0C0"/>
      </bottom>
      <diagonal/>
    </border>
    <border>
      <left style="thin">
        <color theme="0" tint="-0.249977111117893"/>
      </left>
      <right style="thin">
        <color theme="0" tint="-0.249977111117893"/>
      </right>
      <top style="thin">
        <color theme="0" tint="-0.249977111117893"/>
      </top>
      <bottom style="thin">
        <color theme="0" tint="-0.249977111117893"/>
      </bottom>
      <diagonal/>
    </border>
    <border>
      <left style="thin">
        <color theme="0" tint="-0.249977111117893"/>
      </left>
      <right style="thin">
        <color theme="0" tint="-0.249977111117893"/>
      </right>
      <top/>
      <bottom style="thin">
        <color theme="0" tint="-0.249977111117893"/>
      </bottom>
      <diagonal/>
    </border>
    <border>
      <left style="thin">
        <color theme="0" tint="-0.249977111117893"/>
      </left>
      <right/>
      <top style="thin">
        <color theme="0" tint="-0.249977111117893"/>
      </top>
      <bottom style="thin">
        <color theme="0" tint="-0.249977111117893"/>
      </bottom>
      <diagonal/>
    </border>
    <border>
      <left style="thin">
        <color theme="0" tint="-0.249977111117893"/>
      </left>
      <right/>
      <top/>
      <bottom style="thin">
        <color theme="0" tint="-0.249977111117893"/>
      </bottom>
      <diagonal/>
    </border>
    <border>
      <left style="thin">
        <color theme="0" tint="-0.249977111117893"/>
      </left>
      <right style="thin">
        <color theme="0" tint="-0.249977111117893"/>
      </right>
      <top style="thin">
        <color theme="0" tint="-0.249977111117893"/>
      </top>
      <bottom/>
      <diagonal/>
    </border>
    <border>
      <left style="thin">
        <color rgb="FFC0C0C0"/>
      </left>
      <right style="thin">
        <color rgb="FFC0C0C0"/>
      </right>
      <top/>
      <bottom/>
      <diagonal/>
    </border>
    <border>
      <left style="thin">
        <color rgb="FFC0C0C0"/>
      </left>
      <right/>
      <top style="thin">
        <color rgb="FFC0C0C0"/>
      </top>
      <bottom/>
      <diagonal/>
    </border>
    <border>
      <left style="thin">
        <color rgb="FFBCBCBC"/>
      </left>
      <right/>
      <top/>
      <bottom/>
      <diagonal/>
    </border>
    <border>
      <left/>
      <right/>
      <top/>
      <bottom style="thin">
        <color rgb="FFBCBCBC"/>
      </bottom>
      <diagonal/>
    </border>
    <border>
      <left style="thin">
        <color theme="0" tint="-0.249977111117893"/>
      </left>
      <right style="thin">
        <color theme="0" tint="-0.249977111117893"/>
      </right>
      <top/>
      <bottom/>
      <diagonal/>
    </border>
    <border>
      <left/>
      <right/>
      <top style="thin">
        <color rgb="FFBCBCBC"/>
      </top>
      <bottom style="thin">
        <color rgb="FFBCBCBC"/>
      </bottom>
      <diagonal/>
    </border>
    <border>
      <left style="thin">
        <color rgb="FFC0C0C0"/>
      </left>
      <right/>
      <top style="thin">
        <color rgb="FFBCBCBC"/>
      </top>
      <bottom style="thin">
        <color rgb="FFC0C0C0"/>
      </bottom>
      <diagonal/>
    </border>
    <border>
      <left/>
      <right/>
      <top style="thin">
        <color rgb="FFBCBCBC"/>
      </top>
      <bottom style="thin">
        <color rgb="FFC0C0C0"/>
      </bottom>
      <diagonal/>
    </border>
    <border>
      <left/>
      <right/>
      <top style="thin">
        <color rgb="FFD3DBDB"/>
      </top>
      <bottom style="thin">
        <color rgb="FFD3DBDB"/>
      </bottom>
      <diagonal/>
    </border>
    <border>
      <left style="thin">
        <color rgb="FFD3DBDB"/>
      </left>
      <right/>
      <top style="thin">
        <color rgb="FFD3DBDB"/>
      </top>
      <bottom style="thin">
        <color rgb="FFD3DBDB"/>
      </bottom>
      <diagonal/>
    </border>
    <border>
      <left style="thin">
        <color theme="0" tint="-0.34998626667073579"/>
      </left>
      <right style="thin">
        <color theme="0" tint="-0.34998626667073579"/>
      </right>
      <top style="thin">
        <color theme="0" tint="-0.34998626667073579"/>
      </top>
      <bottom style="thin">
        <color theme="0" tint="-0.34998626667073579"/>
      </bottom>
      <diagonal/>
    </border>
    <border>
      <left style="thin">
        <color rgb="FFBCBCBC"/>
      </left>
      <right/>
      <top style="medium">
        <color rgb="FFBCBCBC"/>
      </top>
      <bottom style="thin">
        <color rgb="FFC0C0C0"/>
      </bottom>
      <diagonal/>
    </border>
    <border>
      <left style="thin">
        <color rgb="FFBCBCBC"/>
      </left>
      <right/>
      <top style="medium">
        <color rgb="FFBCBCBC"/>
      </top>
      <bottom/>
      <diagonal/>
    </border>
    <border>
      <left/>
      <right/>
      <top style="medium">
        <color rgb="FFBCBCBC"/>
      </top>
      <bottom/>
      <diagonal/>
    </border>
    <border>
      <left/>
      <right/>
      <top/>
      <bottom style="medium">
        <color rgb="FFC0C0C0"/>
      </bottom>
      <diagonal/>
    </border>
    <border>
      <left/>
      <right/>
      <top style="thin">
        <color rgb="FFC0C0C0"/>
      </top>
      <bottom style="medium">
        <color rgb="FFC0C0C0"/>
      </bottom>
      <diagonal/>
    </border>
    <border>
      <left/>
      <right style="thin">
        <color theme="0" tint="-0.249977111117893"/>
      </right>
      <top style="thin">
        <color rgb="FFC0C0C0"/>
      </top>
      <bottom style="thin">
        <color rgb="FFC0C0C0"/>
      </bottom>
      <diagonal/>
    </border>
    <border>
      <left/>
      <right style="thin">
        <color theme="0" tint="-0.249977111117893"/>
      </right>
      <top style="thin">
        <color rgb="FFC0C0C0"/>
      </top>
      <bottom style="medium">
        <color rgb="FFC0C0C0"/>
      </bottom>
      <diagonal/>
    </border>
    <border>
      <left/>
      <right/>
      <top style="medium">
        <color rgb="FFBCBCBC"/>
      </top>
      <bottom style="thin">
        <color rgb="FFBCBCBC"/>
      </bottom>
      <diagonal/>
    </border>
    <border>
      <left/>
      <right style="thin">
        <color rgb="FFBCBCBC"/>
      </right>
      <top style="medium">
        <color rgb="FFBCBCBC"/>
      </top>
      <bottom style="thin">
        <color rgb="FFBCBCBC"/>
      </bottom>
      <diagonal/>
    </border>
    <border>
      <left/>
      <right/>
      <top style="medium">
        <color rgb="FFC0C0C0"/>
      </top>
      <bottom style="thin">
        <color rgb="FFC0C0C0"/>
      </bottom>
      <diagonal/>
    </border>
    <border>
      <left style="thin">
        <color rgb="FFC0C0C0"/>
      </left>
      <right/>
      <top style="thin">
        <color rgb="FFC0C0C0"/>
      </top>
      <bottom style="medium">
        <color rgb="FFC0C0C0"/>
      </bottom>
      <diagonal/>
    </border>
    <border>
      <left style="thin">
        <color rgb="FFC0C0C0"/>
      </left>
      <right style="thin">
        <color rgb="FFC0C0C0"/>
      </right>
      <top style="thin">
        <color rgb="FFC0C0C0"/>
      </top>
      <bottom style="medium">
        <color rgb="FFC0C0C0"/>
      </bottom>
      <diagonal/>
    </border>
    <border>
      <left style="thin">
        <color theme="0" tint="-0.249977111117893"/>
      </left>
      <right style="thin">
        <color rgb="FFC0C0C0"/>
      </right>
      <top style="thin">
        <color rgb="FFC0C0C0"/>
      </top>
      <bottom/>
      <diagonal/>
    </border>
    <border>
      <left style="thin">
        <color theme="0" tint="-0.249977111117893"/>
      </left>
      <right/>
      <top style="thin">
        <color rgb="FFC0C0C0"/>
      </top>
      <bottom style="thin">
        <color rgb="FFC0C0C0"/>
      </bottom>
      <diagonal/>
    </border>
    <border>
      <left style="thin">
        <color theme="0" tint="-0.249977111117893"/>
      </left>
      <right/>
      <top style="thin">
        <color rgb="FFC0C0C0"/>
      </top>
      <bottom/>
      <diagonal/>
    </border>
    <border>
      <left style="thin">
        <color rgb="FFBCBCBC"/>
      </left>
      <right/>
      <top style="thin">
        <color rgb="FFBCBCBC"/>
      </top>
      <bottom/>
      <diagonal/>
    </border>
    <border>
      <left/>
      <right/>
      <top style="thin">
        <color rgb="FFBCBCBC"/>
      </top>
      <bottom/>
      <diagonal/>
    </border>
    <border>
      <left style="thin">
        <color rgb="FFBCBCBC"/>
      </left>
      <right/>
      <top/>
      <bottom style="thin">
        <color rgb="FFBCBCBC"/>
      </bottom>
      <diagonal/>
    </border>
    <border>
      <left style="thin">
        <color rgb="FF999999"/>
      </left>
      <right/>
      <top style="thin">
        <color rgb="FF999999"/>
      </top>
      <bottom style="thin">
        <color rgb="FF999999"/>
      </bottom>
      <diagonal/>
    </border>
    <border>
      <left/>
      <right/>
      <top style="thin">
        <color rgb="FF999999"/>
      </top>
      <bottom style="thin">
        <color rgb="FF999999"/>
      </bottom>
      <diagonal/>
    </border>
    <border>
      <left/>
      <right style="thin">
        <color rgb="FF999999"/>
      </right>
      <top style="thin">
        <color rgb="FF999999"/>
      </top>
      <bottom style="thin">
        <color rgb="FF999999"/>
      </bottom>
      <diagonal/>
    </border>
    <border>
      <left/>
      <right style="thin">
        <color rgb="FFBCBCBC"/>
      </right>
      <top/>
      <bottom/>
      <diagonal/>
    </border>
    <border>
      <left/>
      <right style="thin">
        <color rgb="FFBCBCBC"/>
      </right>
      <top style="thin">
        <color rgb="FFBCBCBC"/>
      </top>
      <bottom/>
      <diagonal/>
    </border>
    <border>
      <left style="thin">
        <color rgb="FFC0C0C0"/>
      </left>
      <right style="thin">
        <color rgb="FFC0C0C0"/>
      </right>
      <top style="thin">
        <color rgb="FFBCBCBC"/>
      </top>
      <bottom style="thin">
        <color rgb="FFBCBCBC"/>
      </bottom>
      <diagonal/>
    </border>
    <border>
      <left style="thin">
        <color rgb="FFC0C0C0"/>
      </left>
      <right/>
      <top style="thin">
        <color rgb="FFBCBCBC"/>
      </top>
      <bottom style="thin">
        <color rgb="FFBCBCBC"/>
      </bottom>
      <diagonal/>
    </border>
    <border>
      <left/>
      <right style="thin">
        <color rgb="FFC0C0C0"/>
      </right>
      <top style="thin">
        <color rgb="FFBCBCBC"/>
      </top>
      <bottom style="thin">
        <color rgb="FFBCBCBC"/>
      </bottom>
      <diagonal/>
    </border>
    <border>
      <left style="thin">
        <color rgb="FFBCBCBC"/>
      </left>
      <right/>
      <top style="thin">
        <color rgb="FFBCBCBC"/>
      </top>
      <bottom style="thin">
        <color rgb="FFBCBCBC"/>
      </bottom>
      <diagonal/>
    </border>
    <border>
      <left/>
      <right style="thin">
        <color rgb="FFBCBCBC"/>
      </right>
      <top style="thin">
        <color rgb="FFBCBCBC"/>
      </top>
      <bottom style="thin">
        <color rgb="FFBCBCBC"/>
      </bottom>
      <diagonal/>
    </border>
    <border>
      <left style="thin">
        <color rgb="FFBCBCBC"/>
      </left>
      <right/>
      <top style="thin">
        <color rgb="FFBCBCBC"/>
      </top>
      <bottom style="thin">
        <color rgb="FFC0C0C0"/>
      </bottom>
      <diagonal/>
    </border>
    <border>
      <left/>
      <right style="thin">
        <color rgb="FFC0C0C0"/>
      </right>
      <top style="thin">
        <color rgb="FFC0C0C0"/>
      </top>
      <bottom style="medium">
        <color rgb="FFC0C0C0"/>
      </bottom>
      <diagonal/>
    </border>
  </borders>
  <cellStyleXfs count="37">
    <xf numFmtId="49" fontId="0" fillId="0" borderId="0" applyFill="0" applyBorder="0">
      <alignment vertical="top"/>
    </xf>
    <xf numFmtId="0" fontId="4" fillId="0" borderId="0" applyFill="0" applyBorder="0">
      <alignment vertical="top"/>
    </xf>
    <xf numFmtId="0" fontId="5" fillId="0" borderId="0" applyFill="0" applyBorder="0"/>
    <xf numFmtId="164" fontId="5" fillId="0" borderId="0" applyFill="0" applyBorder="0"/>
    <xf numFmtId="38" fontId="6" fillId="0" borderId="0" applyFill="0" applyBorder="0">
      <alignment vertical="top"/>
    </xf>
    <xf numFmtId="0" fontId="7" fillId="0" borderId="1" applyFill="0">
      <alignment vertical="top"/>
      <protection locked="0"/>
    </xf>
    <xf numFmtId="165" fontId="8" fillId="6" borderId="0" applyBorder="0">
      <protection locked="0"/>
    </xf>
    <xf numFmtId="0" fontId="9" fillId="0" borderId="0" applyFill="0" applyBorder="0">
      <alignment vertical="center"/>
    </xf>
    <xf numFmtId="166" fontId="8" fillId="6" borderId="0" applyBorder="0">
      <protection locked="0"/>
    </xf>
    <xf numFmtId="167" fontId="8" fillId="6" borderId="0" applyBorder="0">
      <protection locked="0"/>
    </xf>
    <xf numFmtId="0" fontId="10" fillId="0" borderId="0" applyFill="0" applyBorder="0">
      <alignment vertical="top"/>
    </xf>
    <xf numFmtId="0" fontId="7" fillId="7" borderId="1">
      <alignment vertical="top"/>
    </xf>
    <xf numFmtId="0" fontId="11" fillId="0" borderId="0" applyFill="0" applyBorder="0"/>
    <xf numFmtId="0" fontId="12" fillId="8" borderId="2">
      <alignment horizontal="center" vertical="center"/>
    </xf>
    <xf numFmtId="0" fontId="3" fillId="5" borderId="1">
      <alignment vertical="top"/>
    </xf>
    <xf numFmtId="0" fontId="13" fillId="0" borderId="0" applyFill="0" applyBorder="0">
      <alignment vertical="top"/>
    </xf>
    <xf numFmtId="0" fontId="14" fillId="0" borderId="0" applyFill="0" applyBorder="0">
      <alignment vertical="top"/>
    </xf>
    <xf numFmtId="0" fontId="15" fillId="0" borderId="0" applyFill="0" applyBorder="0">
      <alignment vertical="top"/>
    </xf>
    <xf numFmtId="0" fontId="16" fillId="0" borderId="0" applyFill="0" applyBorder="0">
      <alignment vertical="top"/>
    </xf>
    <xf numFmtId="0" fontId="17" fillId="0" borderId="0" applyFill="0" applyBorder="0">
      <alignment vertical="top"/>
    </xf>
    <xf numFmtId="0" fontId="2" fillId="9" borderId="1" applyFont="0">
      <alignment vertical="top"/>
    </xf>
    <xf numFmtId="0" fontId="18" fillId="0" borderId="0" applyFill="0" applyBorder="0">
      <alignment horizontal="center" vertical="center" wrapText="1"/>
    </xf>
    <xf numFmtId="0" fontId="19" fillId="0" borderId="0" applyFill="0" applyBorder="0">
      <alignment horizontal="center" vertical="center" wrapText="1"/>
    </xf>
    <xf numFmtId="4" fontId="8" fillId="6" borderId="0" applyBorder="0">
      <alignment horizontal="right"/>
    </xf>
    <xf numFmtId="49" fontId="8" fillId="0" borderId="0" applyFill="0" applyBorder="0">
      <alignment vertical="top"/>
    </xf>
    <xf numFmtId="0" fontId="1" fillId="0" borderId="0" applyFill="0" applyBorder="0"/>
    <xf numFmtId="0" fontId="20" fillId="0" borderId="0" applyFill="0" applyBorder="0"/>
    <xf numFmtId="49" fontId="120" fillId="0" borderId="0" applyFill="0" applyBorder="0">
      <alignment vertical="top"/>
    </xf>
    <xf numFmtId="0" fontId="21" fillId="0" borderId="0" applyFill="0" applyBorder="0"/>
    <xf numFmtId="0" fontId="120" fillId="10" borderId="0" applyBorder="0">
      <alignment vertical="top"/>
    </xf>
    <xf numFmtId="49" fontId="120" fillId="9" borderId="0" applyBorder="0">
      <alignment vertical="top"/>
    </xf>
    <xf numFmtId="49" fontId="8" fillId="10" borderId="0" applyBorder="0">
      <alignment vertical="top"/>
    </xf>
    <xf numFmtId="0" fontId="22" fillId="0" borderId="0" applyFill="0" applyBorder="0"/>
    <xf numFmtId="0" fontId="8" fillId="0" borderId="0" applyFill="0" applyBorder="0">
      <alignment horizontal="left" vertical="center"/>
    </xf>
    <xf numFmtId="0" fontId="23" fillId="0" borderId="0" applyFill="0" applyBorder="0"/>
    <xf numFmtId="0" fontId="24" fillId="0" borderId="0" applyFill="0" applyBorder="0">
      <alignment vertical="top"/>
    </xf>
    <xf numFmtId="4" fontId="8" fillId="11" borderId="0" applyBorder="0">
      <alignment horizontal="right"/>
    </xf>
  </cellStyleXfs>
  <cellXfs count="2409">
    <xf numFmtId="49" fontId="0" fillId="0" borderId="0" xfId="0" applyNumberFormat="1" applyFont="1">
      <alignment vertical="top"/>
    </xf>
    <xf numFmtId="0" fontId="7" fillId="20" borderId="54" xfId="0" applyNumberFormat="1" applyFont="1" applyFill="1" applyBorder="1" applyAlignment="1">
      <alignment horizontal="right" vertical="center" wrapText="1" indent="1"/>
    </xf>
    <xf numFmtId="0" fontId="7" fillId="20" borderId="61" xfId="0" applyNumberFormat="1" applyFont="1" applyFill="1" applyBorder="1" applyAlignment="1">
      <alignment horizontal="right" vertical="center" wrapText="1" indent="1"/>
    </xf>
    <xf numFmtId="49" fontId="0" fillId="9" borderId="0" xfId="30" applyNumberFormat="1" applyFont="1" applyFill="1">
      <alignment vertical="top"/>
    </xf>
    <xf numFmtId="49" fontId="0" fillId="0" borderId="0" xfId="0" applyNumberFormat="1" applyFont="1">
      <alignment vertical="top"/>
    </xf>
    <xf numFmtId="49" fontId="0" fillId="0" borderId="0" xfId="0" applyNumberFormat="1" applyFont="1">
      <alignment vertical="top"/>
    </xf>
    <xf numFmtId="0" fontId="8" fillId="0" borderId="0" xfId="0" applyNumberFormat="1" applyFont="1" applyAlignment="1">
      <alignment vertical="top" wrapText="1"/>
    </xf>
    <xf numFmtId="49" fontId="0" fillId="0" borderId="0" xfId="0" applyNumberFormat="1" applyFont="1">
      <alignment vertical="top"/>
    </xf>
    <xf numFmtId="49" fontId="8" fillId="11" borderId="3" xfId="0" applyNumberFormat="1" applyFont="1" applyFill="1" applyBorder="1" applyAlignment="1">
      <alignment horizontal="center" vertical="top"/>
    </xf>
    <xf numFmtId="49" fontId="0" fillId="0" borderId="0" xfId="0" applyNumberFormat="1" applyFont="1">
      <alignment vertical="top"/>
    </xf>
    <xf numFmtId="0" fontId="8" fillId="9" borderId="0" xfId="0" applyNumberFormat="1" applyFont="1" applyFill="1" applyAlignment="1"/>
    <xf numFmtId="0" fontId="25" fillId="0" borderId="0" xfId="33" applyFont="1" applyAlignment="1">
      <alignment vertical="center" wrapText="1"/>
    </xf>
    <xf numFmtId="0" fontId="8" fillId="9" borderId="0" xfId="33" applyFont="1" applyFill="1" applyAlignment="1">
      <alignment vertical="center" wrapText="1"/>
    </xf>
    <xf numFmtId="0" fontId="27" fillId="9" borderId="0" xfId="33" applyFont="1" applyFill="1" applyAlignment="1">
      <alignment vertical="center" wrapText="1"/>
    </xf>
    <xf numFmtId="0" fontId="8" fillId="9" borderId="0" xfId="33" applyFont="1" applyFill="1" applyAlignment="1">
      <alignment horizontal="right" vertical="center" wrapText="1" indent="1"/>
    </xf>
    <xf numFmtId="0" fontId="8" fillId="9" borderId="0" xfId="33" applyFont="1" applyFill="1" applyAlignment="1">
      <alignment horizontal="center" vertical="center" wrapText="1"/>
    </xf>
    <xf numFmtId="0" fontId="26" fillId="0" borderId="0" xfId="33" applyFont="1" applyAlignment="1">
      <alignment horizontal="center" vertical="center" wrapText="1"/>
    </xf>
    <xf numFmtId="0" fontId="28" fillId="9" borderId="0" xfId="33" applyFont="1" applyFill="1" applyAlignment="1">
      <alignment horizontal="center" vertical="center" wrapText="1"/>
    </xf>
    <xf numFmtId="0" fontId="8" fillId="0" borderId="0" xfId="33" applyFont="1" applyAlignment="1">
      <alignment vertical="center"/>
    </xf>
    <xf numFmtId="49" fontId="8" fillId="9" borderId="0" xfId="33" applyNumberFormat="1" applyFont="1" applyFill="1" applyAlignment="1">
      <alignment horizontal="right" vertical="center" wrapText="1" indent="1"/>
    </xf>
    <xf numFmtId="49" fontId="27" fillId="9" borderId="0" xfId="33" applyNumberFormat="1" applyFont="1" applyFill="1" applyAlignment="1">
      <alignment horizontal="center" vertical="center" wrapText="1"/>
    </xf>
    <xf numFmtId="49" fontId="0" fillId="12" borderId="0" xfId="0" applyNumberFormat="1" applyFont="1" applyFill="1">
      <alignment vertical="top"/>
    </xf>
    <xf numFmtId="0" fontId="8" fillId="0" borderId="0" xfId="0" applyNumberFormat="1" applyFont="1" applyAlignment="1">
      <alignment vertical="center" wrapText="1"/>
    </xf>
    <xf numFmtId="0" fontId="8" fillId="9" borderId="0" xfId="0" applyNumberFormat="1" applyFont="1" applyFill="1" applyAlignment="1">
      <alignment vertical="center" wrapText="1"/>
    </xf>
    <xf numFmtId="0" fontId="8" fillId="9" borderId="0" xfId="0" applyNumberFormat="1" applyFont="1" applyFill="1" applyAlignment="1">
      <alignment horizontal="right" vertical="center" wrapText="1"/>
    </xf>
    <xf numFmtId="49" fontId="0" fillId="9" borderId="0" xfId="33" applyNumberFormat="1" applyFont="1" applyFill="1" applyAlignment="1">
      <alignment horizontal="right" vertical="center" wrapText="1" indent="1"/>
    </xf>
    <xf numFmtId="49" fontId="29" fillId="9" borderId="0" xfId="0" applyNumberFormat="1" applyFont="1" applyFill="1" applyAlignment="1">
      <alignment horizontal="center" vertical="center" wrapText="1"/>
    </xf>
    <xf numFmtId="49" fontId="0" fillId="0" borderId="0" xfId="0" applyNumberFormat="1" applyFont="1">
      <alignment vertical="top"/>
    </xf>
    <xf numFmtId="0" fontId="30" fillId="9" borderId="0" xfId="0" applyNumberFormat="1" applyFont="1" applyFill="1" applyAlignment="1">
      <alignment horizontal="center" vertical="center" wrapText="1"/>
    </xf>
    <xf numFmtId="0" fontId="30" fillId="9" borderId="0" xfId="0" applyNumberFormat="1" applyFont="1" applyFill="1" applyAlignment="1">
      <alignment horizontal="center"/>
    </xf>
    <xf numFmtId="0" fontId="30" fillId="9" borderId="0" xfId="0" applyNumberFormat="1" applyFont="1" applyFill="1" applyAlignment="1">
      <alignment horizontal="center" vertical="center"/>
    </xf>
    <xf numFmtId="49" fontId="31" fillId="0" borderId="1" xfId="0" applyNumberFormat="1" applyFont="1" applyBorder="1" applyAlignment="1">
      <alignment vertical="top" wrapText="1"/>
    </xf>
    <xf numFmtId="0" fontId="0" fillId="0" borderId="1" xfId="0" applyNumberFormat="1" applyFont="1" applyBorder="1" applyAlignment="1">
      <alignment vertical="top" wrapText="1"/>
    </xf>
    <xf numFmtId="0" fontId="21" fillId="0" borderId="0" xfId="0" applyNumberFormat="1" applyFont="1" applyAlignment="1"/>
    <xf numFmtId="0" fontId="8" fillId="9" borderId="0" xfId="0" applyNumberFormat="1" applyFont="1" applyFill="1" applyAlignment="1">
      <alignment horizontal="center" vertical="center" wrapText="1"/>
    </xf>
    <xf numFmtId="0" fontId="32" fillId="9" borderId="0" xfId="0" applyNumberFormat="1" applyFont="1" applyFill="1" applyAlignment="1">
      <alignment vertical="center" wrapText="1"/>
    </xf>
    <xf numFmtId="0" fontId="25" fillId="0" borderId="0" xfId="33" applyFont="1" applyAlignment="1">
      <alignment horizontal="left" vertical="center" wrapText="1"/>
    </xf>
    <xf numFmtId="49" fontId="25" fillId="0" borderId="0" xfId="33" applyNumberFormat="1" applyFont="1" applyAlignment="1">
      <alignment horizontal="left" vertical="center" wrapText="1"/>
    </xf>
    <xf numFmtId="0" fontId="0" fillId="0" borderId="0" xfId="0" applyNumberFormat="1" applyFont="1">
      <alignment vertical="top"/>
    </xf>
    <xf numFmtId="49" fontId="8" fillId="0" borderId="0" xfId="0" applyNumberFormat="1" applyFont="1">
      <alignment vertical="top"/>
    </xf>
    <xf numFmtId="0" fontId="8" fillId="0" borderId="0" xfId="0" applyNumberFormat="1" applyFont="1" applyAlignment="1">
      <alignment vertical="center" wrapText="1"/>
    </xf>
    <xf numFmtId="0" fontId="8" fillId="9" borderId="4" xfId="0" applyNumberFormat="1" applyFont="1" applyFill="1" applyBorder="1" applyAlignment="1">
      <alignment horizontal="center" vertical="center" wrapText="1"/>
    </xf>
    <xf numFmtId="49" fontId="8" fillId="6" borderId="4" xfId="0" applyNumberFormat="1" applyFont="1" applyFill="1" applyBorder="1" applyAlignment="1" applyProtection="1">
      <alignment horizontal="left" vertical="center" wrapText="1"/>
      <protection locked="0"/>
    </xf>
    <xf numFmtId="49" fontId="33" fillId="13" borderId="5" xfId="0" applyNumberFormat="1" applyFont="1" applyFill="1" applyBorder="1" applyAlignment="1">
      <alignment horizontal="left" vertical="center"/>
    </xf>
    <xf numFmtId="0" fontId="0" fillId="0" borderId="4" xfId="0" applyNumberFormat="1" applyFont="1" applyBorder="1" applyAlignment="1">
      <alignment horizontal="center" vertical="center" wrapText="1"/>
    </xf>
    <xf numFmtId="0" fontId="8" fillId="13" borderId="6" xfId="0" applyNumberFormat="1" applyFont="1" applyFill="1" applyBorder="1" applyAlignment="1">
      <alignment vertical="center" wrapText="1"/>
    </xf>
    <xf numFmtId="0" fontId="8" fillId="0" borderId="4" xfId="0" applyNumberFormat="1" applyFont="1" applyBorder="1" applyAlignment="1">
      <alignment horizontal="center" vertical="center" wrapText="1"/>
    </xf>
    <xf numFmtId="49" fontId="8" fillId="0" borderId="4" xfId="0" applyNumberFormat="1" applyFont="1" applyBorder="1" applyAlignment="1">
      <alignment horizontal="center" vertical="center" wrapText="1"/>
    </xf>
    <xf numFmtId="0" fontId="8" fillId="9" borderId="4" xfId="0" applyNumberFormat="1" applyFont="1" applyFill="1" applyBorder="1" applyAlignment="1">
      <alignment horizontal="center" vertical="center"/>
    </xf>
    <xf numFmtId="0" fontId="25" fillId="0" borderId="0" xfId="0" applyNumberFormat="1" applyFont="1" applyAlignment="1">
      <alignment vertical="center" wrapText="1"/>
    </xf>
    <xf numFmtId="49" fontId="8" fillId="0" borderId="0" xfId="0" applyNumberFormat="1" applyFont="1">
      <alignment vertical="top"/>
    </xf>
    <xf numFmtId="49" fontId="30" fillId="0" borderId="0" xfId="0" applyNumberFormat="1" applyFont="1" applyAlignment="1">
      <alignment horizontal="center" vertical="center"/>
    </xf>
    <xf numFmtId="49" fontId="8" fillId="0" borderId="0" xfId="0" applyNumberFormat="1" applyFont="1">
      <alignment vertical="top"/>
    </xf>
    <xf numFmtId="0" fontId="8" fillId="9" borderId="0" xfId="0" applyNumberFormat="1" applyFont="1" applyFill="1" applyAlignment="1"/>
    <xf numFmtId="0" fontId="36" fillId="9" borderId="0" xfId="0" applyNumberFormat="1" applyFont="1" applyFill="1" applyAlignment="1">
      <alignment horizontal="center" vertical="center" wrapText="1"/>
    </xf>
    <xf numFmtId="0" fontId="25" fillId="9" borderId="0" xfId="0" applyNumberFormat="1" applyFont="1" applyFill="1" applyAlignment="1"/>
    <xf numFmtId="49" fontId="8" fillId="0" borderId="0" xfId="0" applyNumberFormat="1" applyFont="1">
      <alignment vertical="top"/>
    </xf>
    <xf numFmtId="49" fontId="30" fillId="0" borderId="0" xfId="0" applyNumberFormat="1" applyFont="1" applyAlignment="1">
      <alignment horizontal="center" vertical="center" wrapText="1"/>
    </xf>
    <xf numFmtId="0" fontId="8" fillId="9" borderId="4" xfId="0" applyNumberFormat="1" applyFont="1" applyFill="1" applyBorder="1" applyAlignment="1">
      <alignment horizontal="center" vertical="center" wrapText="1"/>
    </xf>
    <xf numFmtId="49" fontId="8" fillId="0" borderId="4" xfId="0" applyNumberFormat="1" applyFont="1" applyBorder="1" applyAlignment="1">
      <alignment horizontal="center" vertical="center" wrapText="1"/>
    </xf>
    <xf numFmtId="49" fontId="37" fillId="13" borderId="7" xfId="0" applyNumberFormat="1" applyFont="1" applyFill="1" applyBorder="1" applyAlignment="1">
      <alignment horizontal="center" vertical="top"/>
    </xf>
    <xf numFmtId="49" fontId="33" fillId="13" borderId="7" xfId="0" applyNumberFormat="1" applyFont="1" applyFill="1" applyBorder="1" applyAlignment="1">
      <alignment horizontal="left" vertical="center"/>
    </xf>
    <xf numFmtId="0" fontId="34" fillId="0" borderId="0" xfId="0" applyNumberFormat="1" applyFont="1" applyAlignment="1">
      <alignment vertical="center"/>
    </xf>
    <xf numFmtId="0" fontId="0" fillId="0" borderId="0" xfId="0" applyNumberFormat="1" applyFont="1" applyAlignment="1">
      <alignment vertical="center"/>
    </xf>
    <xf numFmtId="0" fontId="0" fillId="0" borderId="0" xfId="33" applyFont="1" applyAlignment="1">
      <alignment horizontal="center" vertical="center" wrapText="1"/>
    </xf>
    <xf numFmtId="49" fontId="8" fillId="0" borderId="0" xfId="33" applyNumberFormat="1" applyFont="1" applyAlignment="1">
      <alignment horizontal="center" vertical="center" wrapText="1"/>
    </xf>
    <xf numFmtId="49" fontId="8" fillId="0" borderId="0" xfId="0" applyNumberFormat="1" applyFont="1" applyAlignment="1">
      <alignment vertical="center" wrapText="1"/>
    </xf>
    <xf numFmtId="0" fontId="30" fillId="9" borderId="0" xfId="0" applyNumberFormat="1" applyFont="1" applyFill="1" applyAlignment="1">
      <alignment horizontal="center" vertical="center" wrapText="1"/>
    </xf>
    <xf numFmtId="49" fontId="38" fillId="0" borderId="0" xfId="0" applyNumberFormat="1" applyFont="1" applyAlignment="1">
      <alignment horizontal="right" vertical="top"/>
    </xf>
    <xf numFmtId="49" fontId="38" fillId="0" borderId="0" xfId="0" applyNumberFormat="1" applyFont="1">
      <alignment vertical="top"/>
    </xf>
    <xf numFmtId="0" fontId="8" fillId="0" borderId="0" xfId="0" applyNumberFormat="1" applyFont="1" applyAlignment="1">
      <alignment horizontal="center" vertical="center" wrapText="1"/>
    </xf>
    <xf numFmtId="0" fontId="0" fillId="0" borderId="0" xfId="0" applyNumberFormat="1" applyFont="1" applyAlignment="1">
      <alignment vertical="center"/>
    </xf>
    <xf numFmtId="0" fontId="7" fillId="0" borderId="0" xfId="0" applyNumberFormat="1" applyFont="1" applyAlignment="1">
      <alignment vertical="center" wrapText="1"/>
    </xf>
    <xf numFmtId="49" fontId="8" fillId="0" borderId="8" xfId="0" applyNumberFormat="1" applyFont="1" applyBorder="1">
      <alignment vertical="top"/>
    </xf>
    <xf numFmtId="49" fontId="39" fillId="0" borderId="0" xfId="0" applyNumberFormat="1" applyFont="1">
      <alignment vertical="top"/>
    </xf>
    <xf numFmtId="0" fontId="39" fillId="0" borderId="0" xfId="0" applyNumberFormat="1" applyFont="1" applyAlignment="1">
      <alignment vertical="center" wrapText="1"/>
    </xf>
    <xf numFmtId="49" fontId="0" fillId="9" borderId="4" xfId="0" applyNumberFormat="1" applyFont="1" applyFill="1" applyBorder="1" applyAlignment="1">
      <alignment horizontal="center" vertical="center" wrapText="1"/>
    </xf>
    <xf numFmtId="0" fontId="25" fillId="0" borderId="0" xfId="33" applyFont="1" applyAlignment="1">
      <alignment horizontal="left" vertical="center" wrapText="1"/>
    </xf>
    <xf numFmtId="49" fontId="8" fillId="0" borderId="4" xfId="0" applyNumberFormat="1" applyFont="1" applyBorder="1" applyAlignment="1">
      <alignment horizontal="left" vertical="center" wrapText="1"/>
    </xf>
    <xf numFmtId="0" fontId="8" fillId="9" borderId="9" xfId="0" applyNumberFormat="1" applyFont="1" applyFill="1" applyBorder="1" applyAlignment="1">
      <alignment horizontal="center" vertical="center"/>
    </xf>
    <xf numFmtId="0" fontId="8" fillId="0" borderId="4" xfId="0" applyNumberFormat="1" applyFont="1" applyBorder="1" applyAlignment="1">
      <alignment vertical="center" wrapText="1"/>
    </xf>
    <xf numFmtId="49" fontId="0" fillId="0" borderId="0" xfId="0" applyNumberFormat="1" applyFont="1" applyAlignment="1">
      <alignment vertical="center"/>
    </xf>
    <xf numFmtId="49" fontId="0" fillId="0" borderId="0" xfId="0" applyNumberFormat="1" applyFont="1">
      <alignment vertical="top"/>
    </xf>
    <xf numFmtId="0" fontId="41" fillId="0" borderId="0" xfId="0" applyNumberFormat="1" applyFont="1" applyAlignment="1">
      <alignment vertical="center"/>
    </xf>
    <xf numFmtId="0" fontId="40" fillId="0" borderId="0" xfId="0" applyNumberFormat="1" applyFont="1" applyAlignment="1">
      <alignment vertical="center"/>
    </xf>
    <xf numFmtId="0" fontId="40" fillId="0" borderId="0" xfId="0" applyNumberFormat="1" applyFont="1" applyAlignment="1">
      <alignment vertical="center"/>
    </xf>
    <xf numFmtId="0" fontId="0" fillId="0" borderId="0" xfId="0" applyNumberFormat="1" applyFont="1" applyAlignment="1">
      <alignment vertical="top" wrapText="1"/>
    </xf>
    <xf numFmtId="49" fontId="8" fillId="0" borderId="4" xfId="0" applyNumberFormat="1" applyFont="1" applyBorder="1" applyAlignment="1">
      <alignment horizontal="center" vertical="center" wrapText="1"/>
    </xf>
    <xf numFmtId="0" fontId="7" fillId="0" borderId="10" xfId="0" applyNumberFormat="1" applyFont="1" applyBorder="1" applyAlignment="1">
      <alignment vertical="top" wrapText="1"/>
    </xf>
    <xf numFmtId="49" fontId="0" fillId="0" borderId="4" xfId="0" applyNumberFormat="1" applyFont="1" applyBorder="1" applyAlignment="1">
      <alignment vertical="top" wrapText="1"/>
    </xf>
    <xf numFmtId="0" fontId="0" fillId="0" borderId="4" xfId="0" applyNumberFormat="1" applyFont="1" applyBorder="1" applyAlignment="1">
      <alignment vertical="top" wrapText="1"/>
    </xf>
    <xf numFmtId="0" fontId="0" fillId="0" borderId="0" xfId="0" applyNumberFormat="1" applyFont="1" applyAlignment="1"/>
    <xf numFmtId="0" fontId="30" fillId="0" borderId="0" xfId="0" applyNumberFormat="1" applyFont="1" applyAlignment="1">
      <alignment horizontal="center" vertical="center" wrapText="1"/>
    </xf>
    <xf numFmtId="0" fontId="30" fillId="0" borderId="0" xfId="0" applyNumberFormat="1" applyFont="1" applyAlignment="1">
      <alignment horizontal="center" vertical="center" wrapText="1"/>
    </xf>
    <xf numFmtId="0" fontId="8" fillId="0" borderId="0" xfId="0" applyNumberFormat="1" applyFont="1" applyAlignment="1">
      <alignment horizontal="right" vertical="center" wrapText="1"/>
    </xf>
    <xf numFmtId="4" fontId="8" fillId="0" borderId="0" xfId="0" applyNumberFormat="1" applyFont="1" applyAlignment="1">
      <alignment horizontal="right" vertical="center" wrapText="1"/>
    </xf>
    <xf numFmtId="0" fontId="8" fillId="0" borderId="0" xfId="0" applyNumberFormat="1" applyFont="1" applyAlignment="1">
      <alignment horizontal="left" vertical="center" wrapText="1" indent="1"/>
    </xf>
    <xf numFmtId="49" fontId="8" fillId="0" borderId="0" xfId="0" applyNumberFormat="1" applyFont="1">
      <alignment vertical="top"/>
    </xf>
    <xf numFmtId="4" fontId="8" fillId="0" borderId="0" xfId="0" applyNumberFormat="1" applyFont="1" applyAlignment="1">
      <alignment horizontal="center" vertical="center" wrapText="1"/>
    </xf>
    <xf numFmtId="0" fontId="39" fillId="0" borderId="0" xfId="0" applyNumberFormat="1" applyFont="1" applyAlignment="1">
      <alignment vertical="center"/>
    </xf>
    <xf numFmtId="169" fontId="8" fillId="0" borderId="4" xfId="0" applyNumberFormat="1" applyFont="1" applyBorder="1" applyAlignment="1">
      <alignment horizontal="center" vertical="center" wrapText="1"/>
    </xf>
    <xf numFmtId="49" fontId="39" fillId="13" borderId="11" xfId="0" applyNumberFormat="1" applyFont="1" applyFill="1" applyBorder="1" applyAlignment="1">
      <alignment horizontal="left" vertical="center" wrapText="1"/>
    </xf>
    <xf numFmtId="49" fontId="0" fillId="13" borderId="7" xfId="0" applyNumberFormat="1" applyFont="1" applyFill="1" applyBorder="1" applyAlignment="1">
      <alignment horizontal="left" vertical="center"/>
    </xf>
    <xf numFmtId="49" fontId="39" fillId="13" borderId="12" xfId="0" applyNumberFormat="1" applyFont="1" applyFill="1" applyBorder="1" applyAlignment="1">
      <alignment horizontal="left" vertical="center" wrapText="1"/>
    </xf>
    <xf numFmtId="0" fontId="29" fillId="0" borderId="0" xfId="0" applyNumberFormat="1" applyFont="1" applyAlignment="1">
      <alignment horizontal="center" vertical="center" wrapText="1"/>
    </xf>
    <xf numFmtId="49" fontId="19" fillId="13" borderId="7" xfId="0" applyNumberFormat="1" applyFont="1" applyFill="1" applyBorder="1" applyAlignment="1">
      <alignment horizontal="right" vertical="center" wrapText="1"/>
    </xf>
    <xf numFmtId="49" fontId="8" fillId="13" borderId="7" xfId="0" applyNumberFormat="1" applyFont="1" applyFill="1" applyBorder="1" applyAlignment="1">
      <alignment horizontal="right" vertical="center" wrapText="1"/>
    </xf>
    <xf numFmtId="49" fontId="8" fillId="13" borderId="5" xfId="0" applyNumberFormat="1" applyFont="1" applyFill="1" applyBorder="1" applyAlignment="1">
      <alignment horizontal="right" vertical="center" wrapText="1"/>
    </xf>
    <xf numFmtId="0" fontId="8" fillId="0" borderId="13" xfId="0" applyNumberFormat="1" applyFont="1" applyBorder="1" applyAlignment="1">
      <alignment vertical="center" wrapText="1"/>
    </xf>
    <xf numFmtId="0" fontId="38" fillId="0" borderId="0" xfId="0" applyNumberFormat="1" applyFont="1" applyAlignment="1">
      <alignment vertical="center" wrapText="1"/>
    </xf>
    <xf numFmtId="0" fontId="42" fillId="0" borderId="0" xfId="0" applyNumberFormat="1" applyFont="1" applyAlignment="1">
      <alignment horizontal="center" vertical="center" wrapText="1"/>
    </xf>
    <xf numFmtId="0" fontId="39" fillId="0" borderId="0" xfId="0" applyNumberFormat="1" applyFont="1" applyAlignment="1">
      <alignment vertical="center"/>
    </xf>
    <xf numFmtId="49" fontId="0" fillId="13" borderId="7" xfId="0" applyNumberFormat="1" applyFont="1" applyFill="1" applyBorder="1" applyAlignment="1">
      <alignment horizontal="right" vertical="center" wrapText="1"/>
    </xf>
    <xf numFmtId="49" fontId="0" fillId="0" borderId="0" xfId="0" applyNumberFormat="1" applyFont="1">
      <alignment vertical="top"/>
    </xf>
    <xf numFmtId="0" fontId="19" fillId="0" borderId="1" xfId="0" applyNumberFormat="1" applyFont="1" applyBorder="1" applyAlignment="1">
      <alignment vertical="center" wrapText="1"/>
    </xf>
    <xf numFmtId="0" fontId="7" fillId="0" borderId="0" xfId="33" applyFont="1" applyAlignment="1">
      <alignment vertical="top" wrapText="1"/>
    </xf>
    <xf numFmtId="0" fontId="8" fillId="0" borderId="1" xfId="0" applyNumberFormat="1" applyFont="1" applyBorder="1" applyAlignment="1">
      <alignment vertical="center" wrapText="1"/>
    </xf>
    <xf numFmtId="49" fontId="8" fillId="0" borderId="0" xfId="0" applyNumberFormat="1" applyFont="1">
      <alignment vertical="top"/>
    </xf>
    <xf numFmtId="0" fontId="8" fillId="9" borderId="0" xfId="0" applyNumberFormat="1" applyFont="1" applyFill="1" applyAlignment="1">
      <alignment horizontal="right" vertical="center"/>
    </xf>
    <xf numFmtId="0" fontId="0" fillId="0" borderId="4" xfId="0" applyNumberFormat="1" applyFont="1" applyBorder="1" applyAlignment="1">
      <alignment horizontal="left" vertical="center" wrapText="1" indent="1"/>
    </xf>
    <xf numFmtId="49" fontId="40" fillId="0" borderId="0" xfId="0" applyNumberFormat="1" applyFont="1">
      <alignment vertical="top"/>
    </xf>
    <xf numFmtId="0" fontId="0" fillId="0" borderId="4" xfId="0" applyNumberFormat="1" applyFont="1" applyBorder="1" applyAlignment="1">
      <alignment vertical="center" wrapText="1"/>
    </xf>
    <xf numFmtId="0" fontId="0" fillId="0" borderId="4" xfId="0" applyNumberFormat="1" applyFont="1" applyBorder="1" applyAlignment="1">
      <alignment horizontal="center" vertical="center" wrapText="1"/>
    </xf>
    <xf numFmtId="49" fontId="33" fillId="13" borderId="7" xfId="0" applyNumberFormat="1" applyFont="1" applyFill="1" applyBorder="1" applyAlignment="1">
      <alignment horizontal="left" vertical="center" indent="3"/>
    </xf>
    <xf numFmtId="49" fontId="37" fillId="13" borderId="5" xfId="0" applyNumberFormat="1" applyFont="1" applyFill="1" applyBorder="1" applyAlignment="1">
      <alignment horizontal="center" vertical="top"/>
    </xf>
    <xf numFmtId="0" fontId="7" fillId="0" borderId="0" xfId="0" applyNumberFormat="1" applyFont="1" applyAlignment="1">
      <alignment horizontal="right" vertical="top" wrapText="1"/>
    </xf>
    <xf numFmtId="49" fontId="33" fillId="13" borderId="7" xfId="0" applyNumberFormat="1" applyFont="1" applyFill="1" applyBorder="1" applyAlignment="1">
      <alignment horizontal="left" vertical="center" indent="1"/>
    </xf>
    <xf numFmtId="49" fontId="33" fillId="13" borderId="7" xfId="0" applyNumberFormat="1" applyFont="1" applyFill="1" applyBorder="1" applyAlignment="1">
      <alignment horizontal="left" vertical="center" indent="2"/>
    </xf>
    <xf numFmtId="49" fontId="8" fillId="15" borderId="4" xfId="0" applyNumberFormat="1" applyFont="1" applyFill="1" applyBorder="1" applyAlignment="1">
      <alignment horizontal="left" vertical="center" wrapText="1"/>
    </xf>
    <xf numFmtId="0" fontId="8" fillId="0" borderId="4" xfId="0" applyNumberFormat="1" applyFont="1" applyBorder="1" applyAlignment="1">
      <alignment vertical="top" wrapText="1"/>
    </xf>
    <xf numFmtId="49" fontId="8" fillId="6" borderId="4" xfId="0" applyNumberFormat="1" applyFont="1" applyFill="1" applyBorder="1" applyAlignment="1" applyProtection="1">
      <alignment horizontal="left" vertical="center" wrapText="1"/>
      <protection locked="0"/>
    </xf>
    <xf numFmtId="0" fontId="30" fillId="0" borderId="0" xfId="0" applyNumberFormat="1" applyFont="1" applyAlignment="1">
      <alignment horizontal="center" vertical="center" wrapText="1"/>
    </xf>
    <xf numFmtId="49" fontId="0" fillId="0" borderId="9" xfId="0" applyNumberFormat="1" applyFont="1" applyBorder="1">
      <alignment vertical="top"/>
    </xf>
    <xf numFmtId="0" fontId="40" fillId="0" borderId="0" xfId="0" applyNumberFormat="1" applyFont="1" applyAlignment="1">
      <alignment vertical="center"/>
    </xf>
    <xf numFmtId="0" fontId="20" fillId="0" borderId="0" xfId="0" applyNumberFormat="1" applyFont="1" applyAlignment="1">
      <alignment vertical="center"/>
    </xf>
    <xf numFmtId="49" fontId="13" fillId="14" borderId="4" xfId="0" applyNumberFormat="1" applyFont="1" applyFill="1" applyBorder="1" applyAlignment="1" applyProtection="1">
      <alignment horizontal="left" vertical="center" wrapText="1"/>
      <protection locked="0"/>
    </xf>
    <xf numFmtId="49" fontId="37" fillId="13" borderId="5" xfId="0" applyNumberFormat="1" applyFont="1" applyFill="1" applyBorder="1" applyAlignment="1">
      <alignment horizontal="center" vertical="top"/>
    </xf>
    <xf numFmtId="0" fontId="0" fillId="11" borderId="4" xfId="33" applyFont="1" applyFill="1" applyBorder="1" applyAlignment="1">
      <alignment horizontal="left" vertical="center" wrapText="1" indent="1"/>
    </xf>
    <xf numFmtId="49" fontId="8" fillId="14" borderId="4" xfId="33" applyNumberFormat="1" applyFont="1" applyFill="1" applyBorder="1" applyAlignment="1" applyProtection="1">
      <alignment horizontal="left" vertical="center" wrapText="1" indent="1"/>
      <protection locked="0"/>
    </xf>
    <xf numFmtId="49" fontId="8" fillId="11" borderId="4" xfId="33" applyNumberFormat="1" applyFont="1" applyFill="1" applyBorder="1" applyAlignment="1">
      <alignment horizontal="left" vertical="center" wrapText="1" indent="1"/>
    </xf>
    <xf numFmtId="49" fontId="8" fillId="0" borderId="4" xfId="33" applyNumberFormat="1" applyFont="1" applyBorder="1" applyAlignment="1">
      <alignment horizontal="left" vertical="center" wrapText="1" indent="1"/>
    </xf>
    <xf numFmtId="0" fontId="8" fillId="0" borderId="4" xfId="0" applyNumberFormat="1" applyFont="1" applyBorder="1" applyAlignment="1">
      <alignment horizontal="center" vertical="center" wrapText="1"/>
    </xf>
    <xf numFmtId="0" fontId="7" fillId="0" borderId="0" xfId="0" applyNumberFormat="1" applyFont="1" applyAlignment="1">
      <alignment vertical="center" wrapText="1"/>
    </xf>
    <xf numFmtId="0" fontId="40" fillId="0" borderId="0" xfId="0" applyNumberFormat="1" applyFont="1" applyAlignment="1">
      <alignment horizontal="center" vertical="center" wrapText="1"/>
    </xf>
    <xf numFmtId="0" fontId="0" fillId="0" borderId="4" xfId="0" applyNumberFormat="1" applyFont="1" applyBorder="1" applyAlignment="1">
      <alignment horizontal="left" vertical="center" wrapText="1"/>
    </xf>
    <xf numFmtId="49" fontId="29" fillId="0" borderId="7" xfId="0" applyNumberFormat="1" applyFont="1" applyBorder="1" applyAlignment="1">
      <alignment horizontal="center" vertical="center" wrapText="1"/>
    </xf>
    <xf numFmtId="0" fontId="44" fillId="0" borderId="0" xfId="0" applyNumberFormat="1" applyFont="1" applyAlignment="1">
      <alignment vertical="center"/>
    </xf>
    <xf numFmtId="0" fontId="45" fillId="0" borderId="0" xfId="0" applyNumberFormat="1" applyFont="1" applyAlignment="1">
      <alignment vertical="center"/>
    </xf>
    <xf numFmtId="0" fontId="40" fillId="0" borderId="0" xfId="0" applyNumberFormat="1" applyFont="1" applyAlignment="1">
      <alignment vertical="center"/>
    </xf>
    <xf numFmtId="0" fontId="40" fillId="0" borderId="0" xfId="0" applyNumberFormat="1" applyFont="1" applyAlignment="1">
      <alignment horizontal="left" vertical="center" wrapText="1" indent="1"/>
    </xf>
    <xf numFmtId="0" fontId="39" fillId="0" borderId="0" xfId="0" applyNumberFormat="1" applyFont="1" applyAlignment="1">
      <alignment horizontal="left" vertical="center" wrapText="1" indent="1"/>
    </xf>
    <xf numFmtId="0" fontId="46" fillId="0" borderId="0" xfId="0" applyNumberFormat="1" applyFont="1" applyAlignment="1">
      <alignment horizontal="left" vertical="center" wrapText="1" indent="1"/>
    </xf>
    <xf numFmtId="0" fontId="47" fillId="0" borderId="0" xfId="0" applyNumberFormat="1" applyFont="1" applyAlignment="1">
      <alignment horizontal="left" vertical="center" indent="1"/>
    </xf>
    <xf numFmtId="0" fontId="48" fillId="0" borderId="0" xfId="33" applyFont="1" applyAlignment="1">
      <alignment horizontal="left" vertical="center" wrapText="1"/>
    </xf>
    <xf numFmtId="0" fontId="49" fillId="0" borderId="0" xfId="33" applyFont="1" applyAlignment="1">
      <alignment vertical="center" wrapText="1"/>
    </xf>
    <xf numFmtId="0" fontId="50" fillId="9" borderId="0" xfId="33" applyFont="1" applyFill="1" applyAlignment="1">
      <alignment vertical="center" wrapText="1"/>
    </xf>
    <xf numFmtId="0" fontId="51" fillId="9" borderId="0" xfId="33" applyFont="1" applyFill="1" applyAlignment="1">
      <alignment horizontal="right" vertical="center" wrapText="1" indent="1"/>
    </xf>
    <xf numFmtId="0" fontId="50" fillId="9" borderId="0" xfId="33" applyFont="1" applyFill="1" applyAlignment="1">
      <alignment horizontal="right" vertical="center" wrapText="1" indent="1"/>
    </xf>
    <xf numFmtId="0" fontId="52" fillId="9" borderId="0" xfId="33" applyFont="1" applyFill="1" applyAlignment="1">
      <alignment horizontal="center" vertical="center" wrapText="1"/>
    </xf>
    <xf numFmtId="0" fontId="48" fillId="9" borderId="0" xfId="33" applyFont="1" applyFill="1" applyAlignment="1">
      <alignment horizontal="center" vertical="center" wrapText="1"/>
    </xf>
    <xf numFmtId="0" fontId="50" fillId="9" borderId="0" xfId="33" applyFont="1" applyFill="1" applyAlignment="1">
      <alignment horizontal="left" vertical="center" wrapText="1" indent="1"/>
    </xf>
    <xf numFmtId="0" fontId="53" fillId="0" borderId="0" xfId="33" applyFont="1" applyAlignment="1">
      <alignment horizontal="left" vertical="center" wrapText="1"/>
    </xf>
    <xf numFmtId="0" fontId="53" fillId="0" borderId="0" xfId="33" applyFont="1" applyAlignment="1">
      <alignment vertical="center" wrapText="1"/>
    </xf>
    <xf numFmtId="0" fontId="50" fillId="0" borderId="0" xfId="33" applyFont="1" applyAlignment="1">
      <alignment vertical="center" wrapText="1"/>
    </xf>
    <xf numFmtId="0" fontId="50" fillId="0" borderId="0" xfId="33" applyFont="1" applyAlignment="1">
      <alignment horizontal="right" vertical="center"/>
    </xf>
    <xf numFmtId="0" fontId="0" fillId="0" borderId="0" xfId="0" applyNumberFormat="1" applyFont="1" applyAlignment="1">
      <alignment horizontal="left" vertical="center" indent="1"/>
    </xf>
    <xf numFmtId="0" fontId="40" fillId="0" borderId="0" xfId="0" applyNumberFormat="1" applyFont="1" applyAlignment="1">
      <alignment horizontal="left" vertical="center" indent="1"/>
    </xf>
    <xf numFmtId="0" fontId="40" fillId="0" borderId="0" xfId="0" applyNumberFormat="1" applyFont="1" applyAlignment="1">
      <alignment horizontal="left" vertical="center" indent="1"/>
    </xf>
    <xf numFmtId="0" fontId="40" fillId="0" borderId="14" xfId="0" applyNumberFormat="1" applyFont="1" applyBorder="1" applyAlignment="1">
      <alignment vertical="center"/>
    </xf>
    <xf numFmtId="0" fontId="8" fillId="0" borderId="4" xfId="0" applyNumberFormat="1" applyFont="1" applyBorder="1" applyAlignment="1">
      <alignment horizontal="center" vertical="center" wrapText="1"/>
    </xf>
    <xf numFmtId="0" fontId="0" fillId="0" borderId="4" xfId="0" applyNumberFormat="1" applyFont="1" applyBorder="1" applyAlignment="1">
      <alignment horizontal="center" vertical="center"/>
    </xf>
    <xf numFmtId="49" fontId="0" fillId="0" borderId="4" xfId="0" applyNumberFormat="1" applyFont="1" applyBorder="1" applyAlignment="1">
      <alignment horizontal="center" vertical="center"/>
    </xf>
    <xf numFmtId="49" fontId="0" fillId="0" borderId="4" xfId="0" applyNumberFormat="1" applyFont="1" applyBorder="1" applyAlignment="1">
      <alignment horizontal="left" vertical="center"/>
    </xf>
    <xf numFmtId="49" fontId="8" fillId="0" borderId="0" xfId="0" applyNumberFormat="1" applyFont="1">
      <alignment vertical="top"/>
    </xf>
    <xf numFmtId="0" fontId="8" fillId="0" borderId="0" xfId="0" applyNumberFormat="1" applyFont="1" applyAlignment="1">
      <alignment horizontal="left" vertical="center" wrapText="1" indent="2"/>
    </xf>
    <xf numFmtId="0" fontId="8" fillId="0" borderId="4" xfId="0" applyNumberFormat="1" applyFont="1" applyBorder="1" applyAlignment="1">
      <alignment vertical="top" wrapText="1"/>
    </xf>
    <xf numFmtId="0" fontId="8" fillId="0" borderId="4" xfId="0" applyNumberFormat="1" applyFont="1" applyBorder="1" applyAlignment="1">
      <alignment horizontal="left" vertical="top" wrapText="1"/>
    </xf>
    <xf numFmtId="0" fontId="8" fillId="0" borderId="4" xfId="0" applyNumberFormat="1" applyFont="1" applyBorder="1" applyAlignment="1">
      <alignment horizontal="left" vertical="center" wrapText="1"/>
    </xf>
    <xf numFmtId="0" fontId="8" fillId="0" borderId="4" xfId="0" applyNumberFormat="1" applyFont="1" applyBorder="1" applyAlignment="1">
      <alignment horizontal="center" vertical="center" wrapText="1"/>
    </xf>
    <xf numFmtId="49" fontId="8" fillId="0" borderId="9" xfId="0" applyNumberFormat="1" applyFont="1" applyBorder="1" applyAlignment="1">
      <alignment horizontal="left" vertical="center" wrapText="1"/>
    </xf>
    <xf numFmtId="49" fontId="19" fillId="13" borderId="6" xfId="0" applyNumberFormat="1" applyFont="1" applyFill="1" applyBorder="1" applyAlignment="1">
      <alignment horizontal="center" vertical="center"/>
    </xf>
    <xf numFmtId="49" fontId="33" fillId="13" borderId="5" xfId="0" applyNumberFormat="1" applyFont="1" applyFill="1" applyBorder="1" applyAlignment="1">
      <alignment horizontal="left" vertical="center"/>
    </xf>
    <xf numFmtId="0" fontId="8" fillId="0" borderId="0" xfId="0" applyNumberFormat="1" applyFont="1" applyAlignment="1"/>
    <xf numFmtId="0" fontId="54" fillId="0" borderId="0" xfId="0" applyNumberFormat="1" applyFont="1" applyAlignment="1">
      <alignment vertical="center" wrapText="1"/>
    </xf>
    <xf numFmtId="0" fontId="54" fillId="0" borderId="0" xfId="0" applyNumberFormat="1" applyFont="1" applyAlignment="1">
      <alignment vertical="center" wrapText="1"/>
    </xf>
    <xf numFmtId="0" fontId="54" fillId="0" borderId="0" xfId="0" applyNumberFormat="1" applyFont="1" applyAlignment="1"/>
    <xf numFmtId="49" fontId="55" fillId="0" borderId="0" xfId="0" applyNumberFormat="1" applyFont="1">
      <alignment vertical="top"/>
    </xf>
    <xf numFmtId="49" fontId="56" fillId="0" borderId="0" xfId="0" applyNumberFormat="1" applyFont="1">
      <alignment vertical="top"/>
    </xf>
    <xf numFmtId="0" fontId="8" fillId="0" borderId="0" xfId="33" applyFont="1" applyAlignment="1">
      <alignment horizontal="center" vertical="center" wrapText="1"/>
    </xf>
    <xf numFmtId="49" fontId="8" fillId="14" borderId="4" xfId="0" applyNumberFormat="1" applyFont="1" applyFill="1" applyBorder="1" applyAlignment="1" applyProtection="1">
      <alignment horizontal="left" vertical="center" wrapText="1" indent="1"/>
      <protection locked="0"/>
    </xf>
    <xf numFmtId="0" fontId="40" fillId="0" borderId="0" xfId="0" applyNumberFormat="1" applyFont="1">
      <alignment vertical="top"/>
    </xf>
    <xf numFmtId="49" fontId="40" fillId="0" borderId="0" xfId="0" applyNumberFormat="1" applyFont="1">
      <alignment vertical="top"/>
    </xf>
    <xf numFmtId="0" fontId="0" fillId="0" borderId="0" xfId="0" applyNumberFormat="1" applyFont="1">
      <alignment vertical="top"/>
    </xf>
    <xf numFmtId="49" fontId="8" fillId="0" borderId="4" xfId="0" applyNumberFormat="1" applyFont="1" applyBorder="1" applyAlignment="1">
      <alignment horizontal="right" vertical="center"/>
    </xf>
    <xf numFmtId="0" fontId="40" fillId="0" borderId="0" xfId="0" applyNumberFormat="1" applyFont="1" applyAlignment="1">
      <alignment vertical="center"/>
    </xf>
    <xf numFmtId="0" fontId="7" fillId="0" borderId="0" xfId="0" applyNumberFormat="1" applyFont="1" applyAlignment="1">
      <alignment horizontal="center" vertical="center" wrapText="1"/>
    </xf>
    <xf numFmtId="0" fontId="0" fillId="0" borderId="0" xfId="0" applyNumberFormat="1" applyFont="1" applyAlignment="1">
      <alignment horizontal="center" vertical="center"/>
    </xf>
    <xf numFmtId="0" fontId="40" fillId="0" borderId="0" xfId="0" applyNumberFormat="1" applyFont="1" applyAlignment="1">
      <alignment vertical="center" wrapText="1"/>
    </xf>
    <xf numFmtId="0" fontId="8" fillId="0" borderId="4" xfId="0" applyNumberFormat="1" applyFont="1" applyBorder="1" applyAlignment="1">
      <alignment horizontal="left" vertical="center" wrapText="1"/>
    </xf>
    <xf numFmtId="0" fontId="58" fillId="0" borderId="0" xfId="0" applyNumberFormat="1" applyFont="1" applyAlignment="1">
      <alignment vertical="center"/>
    </xf>
    <xf numFmtId="49" fontId="29" fillId="9" borderId="0" xfId="0" applyNumberFormat="1" applyFont="1" applyFill="1" applyAlignment="1">
      <alignment horizontal="center" vertical="center" wrapText="1"/>
    </xf>
    <xf numFmtId="0" fontId="8" fillId="0" borderId="4" xfId="0" applyNumberFormat="1" applyFont="1" applyBorder="1" applyAlignment="1">
      <alignment horizontal="center" vertical="center" wrapText="1"/>
    </xf>
    <xf numFmtId="49" fontId="8" fillId="0" borderId="4" xfId="0" applyNumberFormat="1" applyFont="1" applyBorder="1" applyAlignment="1">
      <alignment horizontal="center" vertical="center" wrapText="1"/>
    </xf>
    <xf numFmtId="0" fontId="8" fillId="9" borderId="4" xfId="0" applyNumberFormat="1" applyFont="1" applyFill="1" applyBorder="1" applyAlignment="1">
      <alignment horizontal="left" vertical="center" wrapText="1" indent="4"/>
    </xf>
    <xf numFmtId="0" fontId="8" fillId="9" borderId="4" xfId="0" applyNumberFormat="1" applyFont="1" applyFill="1" applyBorder="1" applyAlignment="1">
      <alignment horizontal="left" vertical="center" wrapText="1" indent="5"/>
    </xf>
    <xf numFmtId="49" fontId="33" fillId="13" borderId="7" xfId="0" applyNumberFormat="1" applyFont="1" applyFill="1" applyBorder="1" applyAlignment="1">
      <alignment horizontal="left" vertical="center" indent="5"/>
    </xf>
    <xf numFmtId="49" fontId="33" fillId="13" borderId="7" xfId="0" applyNumberFormat="1" applyFont="1" applyFill="1" applyBorder="1" applyAlignment="1">
      <alignment horizontal="left" vertical="center" indent="6"/>
    </xf>
    <xf numFmtId="0" fontId="8" fillId="0" borderId="4" xfId="0" applyNumberFormat="1" applyFont="1" applyBorder="1" applyAlignment="1">
      <alignment vertical="center" wrapText="1"/>
    </xf>
    <xf numFmtId="0" fontId="7" fillId="0" borderId="0" xfId="0" applyNumberFormat="1" applyFont="1" applyAlignment="1">
      <alignment vertical="center" wrapText="1"/>
    </xf>
    <xf numFmtId="0" fontId="59" fillId="9" borderId="0" xfId="0" applyNumberFormat="1" applyFont="1" applyFill="1" applyAlignment="1">
      <alignment vertical="center" wrapText="1"/>
    </xf>
    <xf numFmtId="49" fontId="8" fillId="0" borderId="4" xfId="0" applyNumberFormat="1" applyFont="1" applyBorder="1" applyAlignment="1">
      <alignment horizontal="center" vertical="center" wrapText="1"/>
    </xf>
    <xf numFmtId="49" fontId="0" fillId="0" borderId="0" xfId="0" applyNumberFormat="1" applyFont="1">
      <alignment vertical="top"/>
    </xf>
    <xf numFmtId="49" fontId="33" fillId="13" borderId="6" xfId="0" applyNumberFormat="1" applyFont="1" applyFill="1" applyBorder="1" applyAlignment="1">
      <alignment horizontal="left" vertical="center" indent="1"/>
    </xf>
    <xf numFmtId="0" fontId="0" fillId="9" borderId="4" xfId="33" applyFont="1" applyFill="1" applyBorder="1" applyAlignment="1">
      <alignment horizontal="right" vertical="center" wrapText="1" indent="1"/>
    </xf>
    <xf numFmtId="49" fontId="0" fillId="0" borderId="4" xfId="0" applyNumberFormat="1" applyFont="1" applyBorder="1" applyAlignment="1">
      <alignment horizontal="left" vertical="center"/>
    </xf>
    <xf numFmtId="0" fontId="8" fillId="0" borderId="4" xfId="0" applyNumberFormat="1" applyFont="1" applyBorder="1" applyAlignment="1">
      <alignment vertical="top" wrapText="1"/>
    </xf>
    <xf numFmtId="0" fontId="8" fillId="0" borderId="4" xfId="0" applyNumberFormat="1" applyFont="1" applyBorder="1" applyAlignment="1">
      <alignment vertical="center" wrapText="1"/>
    </xf>
    <xf numFmtId="0" fontId="57" fillId="0" borderId="0" xfId="0" applyNumberFormat="1" applyFont="1" applyAlignment="1">
      <alignment vertical="center"/>
    </xf>
    <xf numFmtId="0" fontId="8" fillId="0" borderId="4" xfId="0" applyNumberFormat="1" applyFont="1" applyBorder="1" applyAlignment="1">
      <alignment horizontal="left" vertical="center" wrapText="1" indent="6"/>
    </xf>
    <xf numFmtId="0" fontId="8" fillId="0" borderId="9" xfId="0" applyNumberFormat="1" applyFont="1" applyBorder="1" applyAlignment="1">
      <alignment vertical="center" wrapText="1"/>
    </xf>
    <xf numFmtId="0" fontId="8" fillId="0" borderId="15" xfId="0" applyNumberFormat="1" applyFont="1" applyBorder="1" applyAlignment="1">
      <alignment vertical="center" wrapText="1"/>
    </xf>
    <xf numFmtId="49" fontId="0" fillId="13" borderId="5" xfId="0" applyNumberFormat="1" applyFont="1" applyFill="1" applyBorder="1" applyAlignment="1">
      <alignment horizontal="center" vertical="center" wrapText="1"/>
    </xf>
    <xf numFmtId="0" fontId="0" fillId="0" borderId="6" xfId="0" applyNumberFormat="1" applyFont="1" applyBorder="1" applyAlignment="1">
      <alignment vertical="center"/>
    </xf>
    <xf numFmtId="166" fontId="0" fillId="14" borderId="4" xfId="0" applyNumberFormat="1" applyFont="1" applyFill="1" applyBorder="1" applyAlignment="1" applyProtection="1">
      <alignment horizontal="right" vertical="center"/>
      <protection locked="0"/>
    </xf>
    <xf numFmtId="0" fontId="0" fillId="9" borderId="6" xfId="33" applyFont="1" applyFill="1" applyBorder="1" applyAlignment="1">
      <alignment horizontal="right" vertical="center" wrapText="1" indent="1"/>
    </xf>
    <xf numFmtId="49" fontId="25" fillId="0" borderId="0" xfId="0" applyNumberFormat="1" applyFont="1">
      <alignment vertical="top"/>
    </xf>
    <xf numFmtId="0" fontId="32" fillId="9" borderId="0" xfId="0" applyNumberFormat="1" applyFont="1" applyFill="1" applyAlignment="1">
      <alignment vertical="center" wrapText="1"/>
    </xf>
    <xf numFmtId="49" fontId="60" fillId="13" borderId="6" xfId="0" applyNumberFormat="1" applyFont="1" applyFill="1" applyBorder="1" applyAlignment="1">
      <alignment horizontal="center" vertical="center"/>
    </xf>
    <xf numFmtId="0" fontId="8" fillId="9" borderId="4" xfId="0" applyNumberFormat="1" applyFont="1" applyFill="1" applyBorder="1" applyAlignment="1">
      <alignment horizontal="left" vertical="center" wrapText="1" indent="1"/>
    </xf>
    <xf numFmtId="0" fontId="8" fillId="9" borderId="4" xfId="0" applyNumberFormat="1" applyFont="1" applyFill="1" applyBorder="1" applyAlignment="1">
      <alignment horizontal="left" vertical="center" wrapText="1" indent="2"/>
    </xf>
    <xf numFmtId="0" fontId="8" fillId="9" borderId="4" xfId="0" applyNumberFormat="1" applyFont="1" applyFill="1" applyBorder="1" applyAlignment="1">
      <alignment horizontal="left" vertical="center" wrapText="1" indent="3"/>
    </xf>
    <xf numFmtId="0" fontId="8" fillId="0" borderId="4" xfId="0" applyNumberFormat="1" applyFont="1" applyBorder="1" applyAlignment="1">
      <alignment horizontal="left" vertical="center" wrapText="1" indent="4"/>
    </xf>
    <xf numFmtId="49" fontId="33" fillId="13" borderId="6" xfId="0" applyNumberFormat="1" applyFont="1" applyFill="1" applyBorder="1" applyAlignment="1">
      <alignment vertical="center" wrapText="1"/>
    </xf>
    <xf numFmtId="49" fontId="33" fillId="13" borderId="7" xfId="0" applyNumberFormat="1" applyFont="1" applyFill="1" applyBorder="1" applyAlignment="1">
      <alignment vertical="center"/>
    </xf>
    <xf numFmtId="49" fontId="33" fillId="13" borderId="7" xfId="0" applyNumberFormat="1" applyFont="1" applyFill="1" applyBorder="1" applyAlignment="1">
      <alignment vertical="center" wrapText="1"/>
    </xf>
    <xf numFmtId="0" fontId="8" fillId="0" borderId="4" xfId="0" applyNumberFormat="1" applyFont="1" applyBorder="1" applyAlignment="1">
      <alignment vertical="center" wrapText="1"/>
    </xf>
    <xf numFmtId="49" fontId="8" fillId="0" borderId="4" xfId="0" applyNumberFormat="1" applyFont="1" applyBorder="1" applyAlignment="1">
      <alignment vertical="center" wrapText="1"/>
    </xf>
    <xf numFmtId="0" fontId="8" fillId="0" borderId="0" xfId="0" applyNumberFormat="1" applyFont="1" applyAlignment="1">
      <alignment vertical="top" wrapText="1"/>
    </xf>
    <xf numFmtId="49" fontId="33" fillId="13" borderId="6" xfId="0" applyNumberFormat="1" applyFont="1" applyFill="1" applyBorder="1" applyAlignment="1">
      <alignment horizontal="left" vertical="center"/>
    </xf>
    <xf numFmtId="49" fontId="0" fillId="0" borderId="4" xfId="0" applyNumberFormat="1" applyFont="1" applyBorder="1" applyAlignment="1">
      <alignment vertical="center" wrapText="1"/>
    </xf>
    <xf numFmtId="0" fontId="0" fillId="13" borderId="7" xfId="0" applyNumberFormat="1" applyFont="1" applyFill="1" applyBorder="1" applyAlignment="1">
      <alignment vertical="center"/>
    </xf>
    <xf numFmtId="0" fontId="0" fillId="0" borderId="0" xfId="0" applyNumberFormat="1" applyFont="1" applyAlignment="1">
      <alignment vertical="center"/>
    </xf>
    <xf numFmtId="0" fontId="33" fillId="13" borderId="6" xfId="0" applyNumberFormat="1" applyFont="1" applyFill="1" applyBorder="1" applyAlignment="1">
      <alignment horizontal="left" vertical="center"/>
    </xf>
    <xf numFmtId="0" fontId="33" fillId="13" borderId="7" xfId="0" applyNumberFormat="1" applyFont="1" applyFill="1" applyBorder="1" applyAlignment="1">
      <alignment horizontal="left" vertical="center"/>
    </xf>
    <xf numFmtId="0" fontId="33" fillId="13" borderId="5" xfId="0" applyNumberFormat="1" applyFont="1" applyFill="1" applyBorder="1" applyAlignment="1">
      <alignment horizontal="left" vertical="center"/>
    </xf>
    <xf numFmtId="0" fontId="0" fillId="0" borderId="0" xfId="0" applyNumberFormat="1" applyFont="1" applyAlignment="1">
      <alignment vertical="center"/>
    </xf>
    <xf numFmtId="49" fontId="0" fillId="0" borderId="0" xfId="0" applyNumberFormat="1" applyFont="1" applyAlignment="1">
      <alignment vertical="center"/>
    </xf>
    <xf numFmtId="0" fontId="0" fillId="0" borderId="0" xfId="33" applyFont="1" applyAlignment="1">
      <alignment horizontal="right" vertical="center" wrapText="1" indent="1"/>
    </xf>
    <xf numFmtId="0" fontId="19" fillId="9" borderId="0" xfId="0" applyNumberFormat="1" applyFont="1" applyFill="1" applyAlignment="1">
      <alignment horizontal="center" vertical="center" wrapText="1"/>
    </xf>
    <xf numFmtId="49" fontId="60" fillId="13" borderId="7" xfId="0" applyNumberFormat="1" applyFont="1" applyFill="1" applyBorder="1" applyAlignment="1">
      <alignment horizontal="left" vertical="center"/>
    </xf>
    <xf numFmtId="0" fontId="8" fillId="0" borderId="0" xfId="0" applyNumberFormat="1" applyFont="1" applyAlignment="1">
      <alignment vertical="center" wrapText="1"/>
    </xf>
    <xf numFmtId="49" fontId="8" fillId="13" borderId="5" xfId="0" applyNumberFormat="1" applyFont="1" applyFill="1" applyBorder="1" applyAlignment="1">
      <alignment horizontal="center" vertical="center" wrapText="1"/>
    </xf>
    <xf numFmtId="49" fontId="0" fillId="13" borderId="7" xfId="0" applyNumberFormat="1" applyFont="1" applyFill="1" applyBorder="1" applyAlignment="1">
      <alignment horizontal="center" vertical="center" wrapText="1"/>
    </xf>
    <xf numFmtId="0" fontId="8" fillId="0" borderId="0" xfId="0" applyNumberFormat="1" applyFont="1" applyAlignment="1">
      <alignment vertical="center" wrapText="1"/>
    </xf>
    <xf numFmtId="0" fontId="8" fillId="0" borderId="0" xfId="0" applyNumberFormat="1" applyFont="1" applyAlignment="1">
      <alignment vertical="center" wrapText="1"/>
    </xf>
    <xf numFmtId="0" fontId="0" fillId="0" borderId="0" xfId="0" applyNumberFormat="1" applyFont="1" applyAlignment="1">
      <alignment vertical="center"/>
    </xf>
    <xf numFmtId="0" fontId="0" fillId="0" borderId="4" xfId="0" applyNumberFormat="1" applyFont="1" applyBorder="1" applyAlignment="1">
      <alignment horizontal="left" vertical="center" wrapText="1" indent="1"/>
    </xf>
    <xf numFmtId="49" fontId="61" fillId="0" borderId="6" xfId="0" applyNumberFormat="1" applyFont="1" applyBorder="1" applyAlignment="1">
      <alignment horizontal="left" vertical="center" wrapText="1"/>
    </xf>
    <xf numFmtId="49" fontId="57" fillId="0" borderId="4" xfId="0" applyNumberFormat="1" applyFont="1" applyBorder="1" applyAlignment="1">
      <alignment horizontal="center" vertical="center" wrapText="1"/>
    </xf>
    <xf numFmtId="0" fontId="62" fillId="0" borderId="0" xfId="0" applyNumberFormat="1" applyFont="1" applyAlignment="1">
      <alignment vertical="center" wrapText="1"/>
    </xf>
    <xf numFmtId="0" fontId="8" fillId="0" borderId="0" xfId="0" applyNumberFormat="1" applyFont="1">
      <alignment vertical="top"/>
    </xf>
    <xf numFmtId="0" fontId="8" fillId="0" borderId="0" xfId="0" applyNumberFormat="1" applyFont="1" applyAlignment="1">
      <alignment horizontal="right" vertical="top" wrapText="1"/>
    </xf>
    <xf numFmtId="0" fontId="8" fillId="0" borderId="9" xfId="0" applyNumberFormat="1" applyFont="1" applyBorder="1" applyAlignment="1">
      <alignment vertical="center" wrapText="1"/>
    </xf>
    <xf numFmtId="49" fontId="37" fillId="13" borderId="7" xfId="0" applyNumberFormat="1" applyFont="1" applyFill="1" applyBorder="1" applyAlignment="1">
      <alignment horizontal="center" vertical="top"/>
    </xf>
    <xf numFmtId="0" fontId="8" fillId="0" borderId="15" xfId="0" applyNumberFormat="1" applyFont="1" applyBorder="1" applyAlignment="1">
      <alignment vertical="top" wrapText="1"/>
    </xf>
    <xf numFmtId="0" fontId="0" fillId="0" borderId="0" xfId="0" applyNumberFormat="1" applyFont="1" applyAlignment="1">
      <alignment horizontal="left" vertical="top" wrapText="1"/>
    </xf>
    <xf numFmtId="0" fontId="8" fillId="0" borderId="9" xfId="0" applyNumberFormat="1" applyFont="1" applyBorder="1" applyAlignment="1">
      <alignment vertical="top" wrapText="1"/>
    </xf>
    <xf numFmtId="49" fontId="8" fillId="0" borderId="0" xfId="0" applyNumberFormat="1" applyFont="1">
      <alignment vertical="top"/>
    </xf>
    <xf numFmtId="0" fontId="32" fillId="0" borderId="0" xfId="0" applyNumberFormat="1" applyFont="1" applyAlignment="1">
      <alignment vertical="center" wrapText="1"/>
    </xf>
    <xf numFmtId="0" fontId="8" fillId="0" borderId="4" xfId="0" applyNumberFormat="1" applyFont="1" applyBorder="1" applyAlignment="1">
      <alignment vertical="center" wrapText="1"/>
    </xf>
    <xf numFmtId="49" fontId="8" fillId="0" borderId="0" xfId="0" applyNumberFormat="1" applyFont="1" applyAlignment="1">
      <alignment horizontal="center" vertical="center" wrapText="1"/>
    </xf>
    <xf numFmtId="0" fontId="8" fillId="13" borderId="6" xfId="0" applyNumberFormat="1" applyFont="1" applyFill="1" applyBorder="1" applyAlignment="1">
      <alignment vertical="center" wrapText="1"/>
    </xf>
    <xf numFmtId="0" fontId="8" fillId="14" borderId="4" xfId="33" applyFont="1" applyFill="1" applyBorder="1" applyAlignment="1" applyProtection="1">
      <alignment horizontal="left" vertical="center" wrapText="1" indent="1"/>
      <protection locked="0"/>
    </xf>
    <xf numFmtId="49" fontId="33" fillId="13" borderId="7" xfId="0" applyNumberFormat="1" applyFont="1" applyFill="1" applyBorder="1" applyAlignment="1">
      <alignment horizontal="left" vertical="center" indent="2"/>
    </xf>
    <xf numFmtId="0" fontId="40" fillId="0" borderId="0" xfId="0" applyNumberFormat="1" applyFont="1" applyAlignment="1">
      <alignment vertical="center"/>
    </xf>
    <xf numFmtId="0" fontId="63" fillId="0" borderId="0" xfId="0" applyNumberFormat="1" applyFont="1" applyAlignment="1">
      <alignment vertical="center" wrapText="1"/>
    </xf>
    <xf numFmtId="0" fontId="35" fillId="9" borderId="0" xfId="0" applyNumberFormat="1" applyFont="1" applyFill="1" applyAlignment="1">
      <alignment horizontal="center" vertical="center" wrapText="1"/>
    </xf>
    <xf numFmtId="0" fontId="8" fillId="0" borderId="16" xfId="0" applyNumberFormat="1" applyFont="1" applyBorder="1" applyAlignment="1">
      <alignment vertical="center" wrapText="1"/>
    </xf>
    <xf numFmtId="0" fontId="30" fillId="0" borderId="0" xfId="0" applyNumberFormat="1" applyFont="1" applyAlignment="1">
      <alignment vertical="center" wrapText="1"/>
    </xf>
    <xf numFmtId="49" fontId="8" fillId="0" borderId="16" xfId="0" applyNumberFormat="1" applyFont="1" applyBorder="1">
      <alignment vertical="top"/>
    </xf>
    <xf numFmtId="0" fontId="40" fillId="0" borderId="16" xfId="0" applyNumberFormat="1" applyFont="1" applyBorder="1" applyAlignment="1">
      <alignment horizontal="center" vertical="center" wrapText="1"/>
    </xf>
    <xf numFmtId="0" fontId="40" fillId="0" borderId="16" xfId="0" applyNumberFormat="1" applyFont="1" applyBorder="1" applyAlignment="1">
      <alignment vertical="center" wrapText="1"/>
    </xf>
    <xf numFmtId="49" fontId="25" fillId="0" borderId="0" xfId="0" applyNumberFormat="1" applyFont="1">
      <alignment vertical="top"/>
    </xf>
    <xf numFmtId="49" fontId="0" fillId="0" borderId="16" xfId="0" applyNumberFormat="1" applyFont="1" applyBorder="1">
      <alignment vertical="top"/>
    </xf>
    <xf numFmtId="49" fontId="8" fillId="0" borderId="0" xfId="0" applyNumberFormat="1" applyFont="1">
      <alignment vertical="top"/>
    </xf>
    <xf numFmtId="49" fontId="8" fillId="0" borderId="0" xfId="0" applyNumberFormat="1" applyFont="1" applyAlignment="1">
      <alignment vertical="center" wrapText="1"/>
    </xf>
    <xf numFmtId="0" fontId="30" fillId="9" borderId="0" xfId="0" applyNumberFormat="1" applyFont="1" applyFill="1" applyAlignment="1">
      <alignment vertical="center" wrapText="1"/>
    </xf>
    <xf numFmtId="0" fontId="25" fillId="0" borderId="0" xfId="0" applyNumberFormat="1" applyFont="1" applyAlignment="1">
      <alignment horizontal="center" vertical="center" wrapText="1"/>
    </xf>
    <xf numFmtId="0" fontId="25" fillId="0" borderId="0" xfId="0" applyNumberFormat="1" applyFont="1" applyAlignment="1">
      <alignment vertical="center" wrapText="1"/>
    </xf>
    <xf numFmtId="0" fontId="8" fillId="9" borderId="0" xfId="0" applyNumberFormat="1" applyFont="1" applyFill="1" applyAlignment="1">
      <alignment vertical="center" wrapText="1"/>
    </xf>
    <xf numFmtId="49" fontId="33" fillId="13" borderId="7" xfId="0" applyNumberFormat="1" applyFont="1" applyFill="1" applyBorder="1" applyAlignment="1">
      <alignment horizontal="left" vertical="center" indent="2"/>
    </xf>
    <xf numFmtId="49" fontId="33" fillId="13" borderId="7" xfId="0" applyNumberFormat="1" applyFont="1" applyFill="1" applyBorder="1" applyAlignment="1">
      <alignment horizontal="left" vertical="center" indent="4"/>
    </xf>
    <xf numFmtId="49" fontId="8" fillId="0" borderId="0" xfId="0" applyNumberFormat="1" applyFont="1" applyAlignment="1">
      <alignment vertical="center"/>
    </xf>
    <xf numFmtId="49" fontId="0" fillId="13" borderId="7" xfId="0" applyNumberFormat="1" applyFont="1" applyFill="1" applyBorder="1" applyAlignment="1">
      <alignment horizontal="center" vertical="center" wrapText="1"/>
    </xf>
    <xf numFmtId="49" fontId="8" fillId="13" borderId="7" xfId="0" applyNumberFormat="1" applyFont="1" applyFill="1" applyBorder="1" applyAlignment="1">
      <alignment horizontal="center" vertical="center" wrapText="1"/>
    </xf>
    <xf numFmtId="0" fontId="40" fillId="0" borderId="0" xfId="0" applyNumberFormat="1" applyFont="1" applyAlignment="1">
      <alignment vertical="center"/>
    </xf>
    <xf numFmtId="0" fontId="8" fillId="0" borderId="0" xfId="0" applyNumberFormat="1" applyFont="1" applyAlignment="1">
      <alignment vertical="top" wrapText="1"/>
    </xf>
    <xf numFmtId="49" fontId="8" fillId="0" borderId="4" xfId="0" applyNumberFormat="1" applyFont="1" applyBorder="1" applyAlignment="1">
      <alignment horizontal="right" vertical="top"/>
    </xf>
    <xf numFmtId="49" fontId="8" fillId="0" borderId="9" xfId="0" applyNumberFormat="1" applyFont="1" applyBorder="1" applyAlignment="1">
      <alignment horizontal="right" vertical="top"/>
    </xf>
    <xf numFmtId="49" fontId="33" fillId="13" borderId="7" xfId="0" applyNumberFormat="1" applyFont="1" applyFill="1" applyBorder="1" applyAlignment="1">
      <alignment horizontal="left" vertical="center" indent="3"/>
    </xf>
    <xf numFmtId="49" fontId="0" fillId="0" borderId="0" xfId="0" applyNumberFormat="1" applyFont="1">
      <alignment vertical="top"/>
    </xf>
    <xf numFmtId="0" fontId="8" fillId="0" borderId="0" xfId="0" applyNumberFormat="1" applyFont="1" applyAlignment="1">
      <alignment vertical="center" wrapText="1"/>
    </xf>
    <xf numFmtId="49" fontId="25" fillId="0" borderId="0" xfId="0" applyNumberFormat="1" applyFont="1">
      <alignment vertical="top"/>
    </xf>
    <xf numFmtId="49" fontId="32" fillId="0" borderId="0" xfId="0" applyNumberFormat="1" applyFont="1">
      <alignment vertical="top"/>
    </xf>
    <xf numFmtId="0" fontId="32" fillId="9" borderId="0" xfId="0" applyNumberFormat="1" applyFont="1" applyFill="1" applyAlignment="1">
      <alignment vertical="center" wrapText="1"/>
    </xf>
    <xf numFmtId="49" fontId="8" fillId="0" borderId="0" xfId="0" applyNumberFormat="1" applyFont="1">
      <alignment vertical="top"/>
    </xf>
    <xf numFmtId="49" fontId="8" fillId="14" borderId="4" xfId="0" applyNumberFormat="1" applyFont="1" applyFill="1" applyBorder="1" applyAlignment="1" applyProtection="1">
      <alignment horizontal="left" vertical="center" wrapText="1" indent="4"/>
      <protection locked="0"/>
    </xf>
    <xf numFmtId="49" fontId="8" fillId="14" borderId="4" xfId="0" applyNumberFormat="1" applyFont="1" applyFill="1" applyBorder="1" applyAlignment="1" applyProtection="1">
      <alignment horizontal="left" vertical="center" wrapText="1"/>
      <protection locked="0"/>
    </xf>
    <xf numFmtId="4" fontId="0" fillId="14" borderId="4" xfId="0" applyNumberFormat="1" applyFont="1" applyFill="1" applyBorder="1" applyAlignment="1" applyProtection="1">
      <alignment horizontal="right" vertical="center" wrapText="1"/>
      <protection locked="0"/>
    </xf>
    <xf numFmtId="49" fontId="40" fillId="0" borderId="0" xfId="0" applyNumberFormat="1" applyFont="1">
      <alignment vertical="top"/>
    </xf>
    <xf numFmtId="49" fontId="40" fillId="0" borderId="0" xfId="0" applyNumberFormat="1" applyFont="1" applyAlignment="1">
      <alignment vertical="center" wrapText="1"/>
    </xf>
    <xf numFmtId="49" fontId="40" fillId="0" borderId="0" xfId="0" applyNumberFormat="1" applyFont="1">
      <alignment vertical="top"/>
    </xf>
    <xf numFmtId="49" fontId="40" fillId="0" borderId="0" xfId="0" applyNumberFormat="1" applyFont="1" applyAlignment="1">
      <alignment vertical="center"/>
    </xf>
    <xf numFmtId="49" fontId="8" fillId="14" borderId="4" xfId="0" applyNumberFormat="1" applyFont="1" applyFill="1" applyBorder="1" applyAlignment="1" applyProtection="1">
      <alignment horizontal="left" vertical="center" wrapText="1"/>
      <protection locked="0"/>
    </xf>
    <xf numFmtId="49" fontId="13" fillId="14" borderId="4" xfId="0" applyNumberFormat="1" applyFont="1" applyFill="1" applyBorder="1" applyAlignment="1" applyProtection="1">
      <alignment horizontal="left" vertical="center" wrapText="1"/>
      <protection locked="0"/>
    </xf>
    <xf numFmtId="49" fontId="0" fillId="0" borderId="17" xfId="0" applyNumberFormat="1" applyFont="1" applyBorder="1" applyAlignment="1">
      <alignment horizontal="center" vertical="center"/>
    </xf>
    <xf numFmtId="49" fontId="13" fillId="14" borderId="6" xfId="0" applyNumberFormat="1" applyFont="1" applyFill="1" applyBorder="1" applyAlignment="1" applyProtection="1">
      <alignment horizontal="left" vertical="center" wrapText="1"/>
      <protection locked="0"/>
    </xf>
    <xf numFmtId="0" fontId="8" fillId="9" borderId="4" xfId="0" applyNumberFormat="1" applyFont="1" applyFill="1" applyBorder="1" applyAlignment="1">
      <alignment horizontal="center" vertical="center" wrapText="1"/>
    </xf>
    <xf numFmtId="0" fontId="30" fillId="9" borderId="0" xfId="0" applyNumberFormat="1" applyFont="1" applyFill="1" applyAlignment="1">
      <alignment horizontal="center" vertical="center" wrapText="1"/>
    </xf>
    <xf numFmtId="0" fontId="8" fillId="0" borderId="15" xfId="0" applyNumberFormat="1" applyFont="1" applyBorder="1" applyAlignment="1">
      <alignment horizontal="left" vertical="center" wrapText="1"/>
    </xf>
    <xf numFmtId="0" fontId="0" fillId="0" borderId="4" xfId="0" applyNumberFormat="1" applyFont="1" applyBorder="1" applyAlignment="1">
      <alignment horizontal="left" vertical="center" wrapText="1"/>
    </xf>
    <xf numFmtId="0" fontId="8" fillId="9" borderId="0" xfId="0" applyNumberFormat="1" applyFont="1" applyFill="1" applyAlignment="1">
      <alignment horizontal="center" vertical="center" wrapText="1"/>
    </xf>
    <xf numFmtId="0" fontId="19" fillId="0" borderId="0" xfId="33" applyFont="1" applyAlignment="1">
      <alignment vertical="top" wrapText="1"/>
    </xf>
    <xf numFmtId="0" fontId="8" fillId="9" borderId="18" xfId="33" applyFont="1" applyFill="1" applyBorder="1" applyAlignment="1">
      <alignment horizontal="right" vertical="center" wrapText="1" indent="1"/>
    </xf>
    <xf numFmtId="0" fontId="0" fillId="9" borderId="18" xfId="33" applyFont="1" applyFill="1" applyBorder="1" applyAlignment="1">
      <alignment horizontal="right" vertical="center" wrapText="1" indent="1"/>
    </xf>
    <xf numFmtId="0" fontId="8" fillId="0" borderId="0" xfId="33" applyFont="1" applyAlignment="1">
      <alignment horizontal="left" vertical="center" wrapText="1" indent="4"/>
    </xf>
    <xf numFmtId="0" fontId="8" fillId="9" borderId="0" xfId="33" applyFont="1" applyFill="1" applyAlignment="1">
      <alignment horizontal="center" vertical="center" wrapText="1"/>
    </xf>
    <xf numFmtId="49" fontId="33" fillId="13" borderId="7" xfId="0" applyNumberFormat="1" applyFont="1" applyFill="1" applyBorder="1" applyAlignment="1">
      <alignment horizontal="left" vertical="center"/>
    </xf>
    <xf numFmtId="0" fontId="8" fillId="0" borderId="11" xfId="0" applyNumberFormat="1" applyFont="1" applyBorder="1" applyAlignment="1">
      <alignment vertical="center" wrapText="1"/>
    </xf>
    <xf numFmtId="0" fontId="8" fillId="0" borderId="0" xfId="0" applyNumberFormat="1" applyFont="1" applyAlignment="1">
      <alignment horizontal="left" vertical="center" wrapText="1" indent="1"/>
    </xf>
    <xf numFmtId="0" fontId="62" fillId="0" borderId="0" xfId="0" applyNumberFormat="1" applyFont="1" applyAlignment="1">
      <alignment vertical="center" wrapText="1"/>
    </xf>
    <xf numFmtId="49" fontId="0" fillId="9" borderId="6" xfId="0" applyNumberFormat="1" applyFont="1" applyFill="1" applyBorder="1" applyAlignment="1">
      <alignment horizontal="center" vertical="center" wrapText="1"/>
    </xf>
    <xf numFmtId="49" fontId="0" fillId="9" borderId="9" xfId="0" applyNumberFormat="1" applyFont="1" applyFill="1" applyBorder="1" applyAlignment="1">
      <alignment horizontal="center" vertical="center" wrapText="1"/>
    </xf>
    <xf numFmtId="0" fontId="8" fillId="13" borderId="19" xfId="0" applyNumberFormat="1" applyFont="1" applyFill="1" applyBorder="1" applyAlignment="1">
      <alignment vertical="center" wrapText="1"/>
    </xf>
    <xf numFmtId="49" fontId="33" fillId="13" borderId="20" xfId="0" applyNumberFormat="1" applyFont="1" applyFill="1" applyBorder="1" applyAlignment="1">
      <alignment horizontal="left" vertical="center" indent="1"/>
    </xf>
    <xf numFmtId="49" fontId="33" fillId="13" borderId="20" xfId="0" applyNumberFormat="1" applyFont="1" applyFill="1" applyBorder="1" applyAlignment="1">
      <alignment horizontal="left" vertical="center" indent="2"/>
    </xf>
    <xf numFmtId="49" fontId="13" fillId="6" borderId="4" xfId="0" applyNumberFormat="1" applyFont="1" applyFill="1" applyBorder="1" applyAlignment="1" applyProtection="1">
      <alignment horizontal="left" vertical="center" wrapText="1"/>
      <protection locked="0"/>
    </xf>
    <xf numFmtId="49" fontId="8" fillId="0" borderId="11" xfId="0" applyNumberFormat="1" applyFont="1" applyBorder="1">
      <alignment vertical="top"/>
    </xf>
    <xf numFmtId="49" fontId="60" fillId="13" borderId="5" xfId="0" applyNumberFormat="1" applyFont="1" applyFill="1" applyBorder="1" applyAlignment="1">
      <alignment horizontal="left" vertical="center" indent="1"/>
    </xf>
    <xf numFmtId="49" fontId="60" fillId="13" borderId="7" xfId="0" applyNumberFormat="1" applyFont="1" applyFill="1" applyBorder="1" applyAlignment="1">
      <alignment horizontal="left" vertical="center" indent="1"/>
    </xf>
    <xf numFmtId="49" fontId="19" fillId="13" borderId="6" xfId="0" applyNumberFormat="1" applyFont="1" applyFill="1" applyBorder="1" applyAlignment="1">
      <alignment horizontal="center" vertical="center"/>
    </xf>
    <xf numFmtId="49" fontId="60" fillId="13" borderId="7" xfId="0" applyNumberFormat="1" applyFont="1" applyFill="1" applyBorder="1" applyAlignment="1">
      <alignment vertical="center"/>
    </xf>
    <xf numFmtId="0" fontId="0" fillId="7" borderId="4" xfId="0" applyNumberFormat="1" applyFont="1" applyFill="1" applyBorder="1" applyAlignment="1">
      <alignment horizontal="right" vertical="center"/>
    </xf>
    <xf numFmtId="0" fontId="26" fillId="0" borderId="0" xfId="33" applyFont="1" applyAlignment="1">
      <alignment vertical="center" wrapText="1"/>
    </xf>
    <xf numFmtId="0" fontId="8" fillId="0" borderId="0" xfId="33" applyFont="1" applyAlignment="1">
      <alignment vertical="center" wrapText="1"/>
    </xf>
    <xf numFmtId="0" fontId="27" fillId="9" borderId="0" xfId="33" applyFont="1" applyFill="1" applyAlignment="1">
      <alignment vertical="center" wrapText="1"/>
    </xf>
    <xf numFmtId="0" fontId="25" fillId="0" borderId="0" xfId="33" applyFont="1" applyAlignment="1">
      <alignment horizontal="center" vertical="center" wrapText="1"/>
    </xf>
    <xf numFmtId="0" fontId="0" fillId="0" borderId="0" xfId="0" applyNumberFormat="1" applyFont="1" applyAlignment="1">
      <alignment vertical="center" wrapText="1"/>
    </xf>
    <xf numFmtId="0" fontId="25" fillId="0" borderId="0" xfId="33" applyFont="1" applyAlignment="1">
      <alignment horizontal="left" vertical="center" wrapText="1"/>
    </xf>
    <xf numFmtId="0" fontId="0" fillId="0" borderId="4" xfId="0" applyNumberFormat="1" applyFont="1" applyBorder="1" applyAlignment="1">
      <alignment horizontal="center" vertical="center" wrapText="1"/>
    </xf>
    <xf numFmtId="49" fontId="33" fillId="13" borderId="7" xfId="0" applyNumberFormat="1" applyFont="1" applyFill="1" applyBorder="1" applyAlignment="1">
      <alignment horizontal="left" vertical="center" indent="1"/>
    </xf>
    <xf numFmtId="49" fontId="33" fillId="13" borderId="7" xfId="0" applyNumberFormat="1" applyFont="1" applyFill="1" applyBorder="1" applyAlignment="1">
      <alignment horizontal="left" vertical="center"/>
    </xf>
    <xf numFmtId="0" fontId="39" fillId="0" borderId="0" xfId="0" applyNumberFormat="1" applyFont="1" applyAlignment="1">
      <alignment vertical="center" wrapText="1"/>
    </xf>
    <xf numFmtId="49" fontId="40" fillId="0" borderId="0" xfId="0" applyNumberFormat="1" applyFont="1">
      <alignment vertical="top"/>
    </xf>
    <xf numFmtId="0" fontId="64" fillId="0" borderId="0" xfId="0" applyNumberFormat="1" applyFont="1" applyAlignment="1">
      <alignment vertical="center" wrapText="1"/>
    </xf>
    <xf numFmtId="49" fontId="19" fillId="13" borderId="6" xfId="0" applyNumberFormat="1" applyFont="1" applyFill="1" applyBorder="1" applyAlignment="1">
      <alignment horizontal="right" vertical="center" wrapText="1"/>
    </xf>
    <xf numFmtId="49" fontId="39" fillId="0" borderId="0" xfId="0" applyNumberFormat="1" applyFont="1">
      <alignment vertical="top"/>
    </xf>
    <xf numFmtId="49" fontId="0" fillId="0" borderId="0" xfId="0" applyNumberFormat="1" applyFont="1">
      <alignment vertical="top"/>
    </xf>
    <xf numFmtId="49" fontId="0" fillId="13" borderId="5" xfId="0" applyNumberFormat="1" applyFont="1" applyFill="1" applyBorder="1" applyAlignment="1">
      <alignment horizontal="right" vertical="center" wrapText="1"/>
    </xf>
    <xf numFmtId="0" fontId="0" fillId="0" borderId="4" xfId="0" applyNumberFormat="1" applyFont="1" applyBorder="1" applyAlignment="1">
      <alignment horizontal="center" vertical="center" wrapText="1"/>
    </xf>
    <xf numFmtId="0" fontId="48" fillId="0" borderId="0" xfId="33" applyFont="1" applyAlignment="1">
      <alignment horizontal="left" vertical="center" wrapText="1"/>
    </xf>
    <xf numFmtId="0" fontId="49" fillId="0" borderId="0" xfId="33" applyFont="1" applyAlignment="1">
      <alignment vertical="center" wrapText="1"/>
    </xf>
    <xf numFmtId="0" fontId="50" fillId="9" borderId="0" xfId="33" applyFont="1" applyFill="1" applyAlignment="1">
      <alignment vertical="center" wrapText="1"/>
    </xf>
    <xf numFmtId="0" fontId="51" fillId="9" borderId="0" xfId="33" applyFont="1" applyFill="1" applyAlignment="1">
      <alignment horizontal="right" vertical="center" wrapText="1" indent="1"/>
    </xf>
    <xf numFmtId="0" fontId="0" fillId="0" borderId="6" xfId="0" applyNumberFormat="1" applyFont="1" applyBorder="1" applyAlignment="1">
      <alignment horizontal="center" vertical="center" wrapText="1"/>
    </xf>
    <xf numFmtId="0" fontId="0" fillId="6" borderId="4" xfId="0" applyNumberFormat="1" applyFont="1" applyFill="1" applyBorder="1" applyAlignment="1" applyProtection="1">
      <alignment horizontal="right" vertical="center" wrapText="1"/>
      <protection locked="0"/>
    </xf>
    <xf numFmtId="3" fontId="0" fillId="14" borderId="5" xfId="0" applyNumberFormat="1" applyFont="1" applyFill="1" applyBorder="1" applyAlignment="1" applyProtection="1">
      <alignment horizontal="right" vertical="center" wrapText="1"/>
      <protection locked="0"/>
    </xf>
    <xf numFmtId="3" fontId="0" fillId="14" borderId="4" xfId="0" applyNumberFormat="1" applyFont="1" applyFill="1" applyBorder="1" applyAlignment="1" applyProtection="1">
      <alignment horizontal="right" vertical="center" wrapText="1"/>
      <protection locked="0"/>
    </xf>
    <xf numFmtId="49" fontId="0" fillId="0" borderId="4" xfId="0" applyNumberFormat="1" applyFont="1" applyBorder="1" applyAlignment="1">
      <alignment horizontal="center" vertical="center" wrapText="1"/>
    </xf>
    <xf numFmtId="49" fontId="0" fillId="0" borderId="4" xfId="0" applyNumberFormat="1" applyFont="1" applyBorder="1" applyAlignment="1">
      <alignment vertical="top" wrapText="1"/>
    </xf>
    <xf numFmtId="0" fontId="0" fillId="9" borderId="6" xfId="0" applyNumberFormat="1" applyFont="1" applyFill="1" applyBorder="1" applyAlignment="1">
      <alignment horizontal="left" vertical="center" wrapText="1" indent="1"/>
    </xf>
    <xf numFmtId="0" fontId="0" fillId="9" borderId="9" xfId="0" applyNumberFormat="1" applyFont="1" applyFill="1" applyBorder="1" applyAlignment="1">
      <alignment horizontal="left" vertical="center" wrapText="1"/>
    </xf>
    <xf numFmtId="0" fontId="0" fillId="9" borderId="4" xfId="0" applyNumberFormat="1" applyFont="1" applyFill="1" applyBorder="1" applyAlignment="1">
      <alignment horizontal="left" vertical="center" wrapText="1"/>
    </xf>
    <xf numFmtId="0" fontId="0" fillId="9" borderId="4" xfId="0" applyNumberFormat="1" applyFont="1" applyFill="1" applyBorder="1" applyAlignment="1">
      <alignment horizontal="left" vertical="center" wrapText="1" indent="2"/>
    </xf>
    <xf numFmtId="0" fontId="0" fillId="9" borderId="4" xfId="34" applyFont="1" applyFill="1" applyBorder="1" applyAlignment="1">
      <alignment horizontal="center" vertical="center"/>
    </xf>
    <xf numFmtId="49" fontId="0" fillId="14" borderId="4" xfId="0" applyNumberFormat="1" applyFont="1" applyFill="1" applyBorder="1" applyAlignment="1" applyProtection="1">
      <alignment horizontal="left" vertical="center" wrapText="1"/>
      <protection locked="0"/>
    </xf>
    <xf numFmtId="0" fontId="0" fillId="9" borderId="4" xfId="0" applyNumberFormat="1" applyFont="1" applyFill="1" applyBorder="1" applyAlignment="1">
      <alignment horizontal="left" vertical="center" wrapText="1" indent="1"/>
    </xf>
    <xf numFmtId="0" fontId="0" fillId="0" borderId="4" xfId="0" applyNumberFormat="1" applyFont="1" applyBorder="1" applyAlignment="1">
      <alignment horizontal="center" vertical="center" wrapText="1"/>
    </xf>
    <xf numFmtId="0" fontId="0" fillId="9" borderId="4" xfId="0" applyNumberFormat="1" applyFont="1" applyFill="1" applyBorder="1" applyAlignment="1">
      <alignment vertical="center" wrapText="1"/>
    </xf>
    <xf numFmtId="49" fontId="0" fillId="9" borderId="4" xfId="34" applyNumberFormat="1" applyFont="1" applyFill="1" applyBorder="1" applyAlignment="1">
      <alignment horizontal="center" vertical="center"/>
    </xf>
    <xf numFmtId="0" fontId="0" fillId="9" borderId="4" xfId="0" applyNumberFormat="1" applyFont="1" applyFill="1" applyBorder="1" applyAlignment="1">
      <alignment horizontal="center" vertical="center" wrapText="1"/>
    </xf>
    <xf numFmtId="0" fontId="8" fillId="0" borderId="0" xfId="0" applyNumberFormat="1" applyFont="1" applyAlignment="1">
      <alignment vertical="center" wrapText="1"/>
    </xf>
    <xf numFmtId="49" fontId="29" fillId="9" borderId="0" xfId="0" applyNumberFormat="1" applyFont="1" applyFill="1" applyAlignment="1">
      <alignment horizontal="center" vertical="center" wrapText="1"/>
    </xf>
    <xf numFmtId="0" fontId="30" fillId="9" borderId="0" xfId="0" applyNumberFormat="1" applyFont="1" applyFill="1" applyAlignment="1">
      <alignment horizontal="center" vertical="center" wrapText="1"/>
    </xf>
    <xf numFmtId="0" fontId="30" fillId="0" borderId="0" xfId="0" applyNumberFormat="1" applyFont="1" applyAlignment="1">
      <alignment horizontal="center" vertical="center" wrapText="1"/>
    </xf>
    <xf numFmtId="0" fontId="7" fillId="0" borderId="0" xfId="0" applyNumberFormat="1" applyFont="1" applyAlignment="1">
      <alignment horizontal="center" vertical="center" wrapText="1"/>
    </xf>
    <xf numFmtId="0" fontId="38" fillId="0" borderId="0" xfId="33" applyFont="1" applyAlignment="1">
      <alignment vertical="center" wrapText="1"/>
    </xf>
    <xf numFmtId="0" fontId="8" fillId="9" borderId="0" xfId="0" applyNumberFormat="1" applyFont="1" applyFill="1" applyAlignment="1">
      <alignment vertical="center" wrapText="1"/>
    </xf>
    <xf numFmtId="0" fontId="65" fillId="9" borderId="0" xfId="0" applyNumberFormat="1" applyFont="1" applyFill="1" applyAlignment="1">
      <alignment horizontal="center"/>
    </xf>
    <xf numFmtId="0" fontId="65" fillId="9" borderId="0" xfId="0" applyNumberFormat="1" applyFont="1" applyFill="1" applyAlignment="1"/>
    <xf numFmtId="0" fontId="67" fillId="9" borderId="0" xfId="0" applyNumberFormat="1" applyFont="1" applyFill="1" applyAlignment="1">
      <alignment horizontal="right" vertical="center"/>
    </xf>
    <xf numFmtId="0" fontId="67" fillId="9" borderId="0" xfId="0" applyNumberFormat="1" applyFont="1" applyFill="1" applyAlignment="1">
      <alignment horizontal="right" vertical="top"/>
    </xf>
    <xf numFmtId="0" fontId="8" fillId="9" borderId="0" xfId="0" applyNumberFormat="1" applyFont="1" applyFill="1" applyAlignment="1">
      <alignment horizontal="center" vertical="center" wrapText="1"/>
    </xf>
    <xf numFmtId="0" fontId="29" fillId="9" borderId="0" xfId="34" applyFont="1" applyFill="1" applyAlignment="1">
      <alignment horizontal="center" vertical="center"/>
    </xf>
    <xf numFmtId="0" fontId="8" fillId="0" borderId="4" xfId="0" applyNumberFormat="1" applyFont="1" applyBorder="1" applyAlignment="1">
      <alignment horizontal="center" vertical="center" wrapText="1"/>
    </xf>
    <xf numFmtId="0" fontId="38" fillId="0" borderId="0" xfId="0" applyNumberFormat="1" applyFont="1" applyAlignment="1">
      <alignment vertical="top" wrapText="1"/>
    </xf>
    <xf numFmtId="0" fontId="8" fillId="13" borderId="6" xfId="0" applyNumberFormat="1" applyFont="1" applyFill="1" applyBorder="1" applyAlignment="1">
      <alignment horizontal="center"/>
    </xf>
    <xf numFmtId="0" fontId="60" fillId="13" borderId="7" xfId="0" applyNumberFormat="1" applyFont="1" applyFill="1" applyBorder="1" applyAlignment="1">
      <alignment horizontal="left" vertical="center"/>
    </xf>
    <xf numFmtId="0" fontId="60" fillId="13" borderId="5" xfId="0" applyNumberFormat="1" applyFont="1" applyFill="1" applyBorder="1" applyAlignment="1">
      <alignment horizontal="left" vertical="center"/>
    </xf>
    <xf numFmtId="0" fontId="68" fillId="9" borderId="0" xfId="0" applyNumberFormat="1" applyFont="1" applyFill="1" applyAlignment="1">
      <alignment vertical="center"/>
    </xf>
    <xf numFmtId="0" fontId="68" fillId="9" borderId="0" xfId="0" applyNumberFormat="1" applyFont="1" applyFill="1" applyAlignment="1">
      <alignment vertical="center" wrapText="1"/>
    </xf>
    <xf numFmtId="49" fontId="8" fillId="9" borderId="4" xfId="34" applyNumberFormat="1" applyFont="1" applyFill="1" applyBorder="1" applyAlignment="1">
      <alignment horizontal="center" vertical="center" wrapText="1"/>
    </xf>
    <xf numFmtId="0" fontId="8" fillId="9" borderId="4" xfId="0" applyNumberFormat="1" applyFont="1" applyFill="1" applyBorder="1" applyAlignment="1">
      <alignment horizontal="center" vertical="center" wrapText="1"/>
    </xf>
    <xf numFmtId="0" fontId="8" fillId="9" borderId="4" xfId="0" applyNumberFormat="1" applyFont="1" applyFill="1" applyBorder="1" applyAlignment="1">
      <alignment vertical="center" wrapText="1"/>
    </xf>
    <xf numFmtId="0" fontId="55" fillId="9" borderId="0" xfId="0" applyNumberFormat="1" applyFont="1" applyFill="1" applyAlignment="1"/>
    <xf numFmtId="0" fontId="43" fillId="9" borderId="0" xfId="0" applyNumberFormat="1" applyFont="1" applyFill="1" applyAlignment="1"/>
    <xf numFmtId="0" fontId="51" fillId="9" borderId="0" xfId="0" applyNumberFormat="1" applyFont="1" applyFill="1" applyAlignment="1">
      <alignment horizontal="center"/>
    </xf>
    <xf numFmtId="0" fontId="48" fillId="0" borderId="0" xfId="0" applyNumberFormat="1" applyFont="1" applyAlignment="1">
      <alignment vertical="center" wrapText="1"/>
    </xf>
    <xf numFmtId="0" fontId="50" fillId="0" borderId="0" xfId="0" applyNumberFormat="1" applyFont="1" applyAlignment="1">
      <alignment vertical="center" wrapText="1"/>
    </xf>
    <xf numFmtId="0" fontId="50" fillId="9" borderId="0" xfId="0" applyNumberFormat="1" applyFont="1" applyFill="1" applyAlignment="1">
      <alignment vertical="center" wrapText="1"/>
    </xf>
    <xf numFmtId="0" fontId="50" fillId="9" borderId="0" xfId="0" applyNumberFormat="1" applyFont="1" applyFill="1" applyAlignment="1">
      <alignment horizontal="right" vertical="center"/>
    </xf>
    <xf numFmtId="0" fontId="50" fillId="9" borderId="0" xfId="0" applyNumberFormat="1" applyFont="1" applyFill="1" applyAlignment="1">
      <alignment horizontal="right" vertical="center" wrapText="1"/>
    </xf>
    <xf numFmtId="4" fontId="50" fillId="0" borderId="0" xfId="0" applyNumberFormat="1" applyFont="1" applyAlignment="1">
      <alignment horizontal="right" vertical="center" wrapText="1"/>
    </xf>
    <xf numFmtId="0" fontId="50" fillId="0" borderId="0" xfId="0" applyNumberFormat="1" applyFont="1" applyAlignment="1">
      <alignment horizontal="left" vertical="center" wrapText="1" indent="1"/>
    </xf>
    <xf numFmtId="0" fontId="69" fillId="9" borderId="0" xfId="0" applyNumberFormat="1" applyFont="1" applyFill="1" applyAlignment="1">
      <alignment horizontal="center" vertical="center" wrapText="1"/>
    </xf>
    <xf numFmtId="0" fontId="29" fillId="9" borderId="0" xfId="0" applyNumberFormat="1" applyFont="1" applyFill="1" applyAlignment="1">
      <alignment horizontal="center" vertical="center" wrapText="1"/>
    </xf>
    <xf numFmtId="0" fontId="54" fillId="0" borderId="0" xfId="0" applyNumberFormat="1" applyFont="1" applyAlignment="1">
      <alignment vertical="center" wrapText="1"/>
    </xf>
    <xf numFmtId="0" fontId="40" fillId="0" borderId="0" xfId="0" applyNumberFormat="1" applyFont="1" applyAlignment="1">
      <alignment vertical="center" wrapText="1"/>
    </xf>
    <xf numFmtId="49" fontId="8" fillId="15" borderId="4" xfId="0" applyNumberFormat="1" applyFont="1" applyFill="1" applyBorder="1" applyAlignment="1">
      <alignment horizontal="left" vertical="center" wrapText="1"/>
    </xf>
    <xf numFmtId="0" fontId="54" fillId="0" borderId="0" xfId="0" applyNumberFormat="1" applyFont="1" applyAlignment="1">
      <alignment horizontal="center" vertical="center" wrapText="1"/>
    </xf>
    <xf numFmtId="0" fontId="8" fillId="9" borderId="16" xfId="0" applyNumberFormat="1" applyFont="1" applyFill="1" applyBorder="1" applyAlignment="1">
      <alignment vertical="center" wrapText="1"/>
    </xf>
    <xf numFmtId="49" fontId="29" fillId="9" borderId="7" xfId="0" applyNumberFormat="1" applyFont="1" applyFill="1" applyBorder="1" applyAlignment="1">
      <alignment horizontal="center" vertical="center" wrapText="1"/>
    </xf>
    <xf numFmtId="0" fontId="40" fillId="0" borderId="0" xfId="0" applyNumberFormat="1" applyFont="1" applyAlignment="1">
      <alignment horizontal="center" vertical="center" wrapText="1"/>
    </xf>
    <xf numFmtId="0" fontId="69" fillId="0" borderId="0" xfId="0" applyNumberFormat="1" applyFont="1" applyAlignment="1">
      <alignment horizontal="center" vertical="center" wrapText="1"/>
    </xf>
    <xf numFmtId="0" fontId="63" fillId="0" borderId="0" xfId="0" applyNumberFormat="1" applyFont="1" applyAlignment="1">
      <alignment vertical="center" wrapText="1"/>
    </xf>
    <xf numFmtId="49" fontId="63" fillId="0" borderId="4" xfId="0" applyNumberFormat="1" applyFont="1" applyBorder="1" applyAlignment="1">
      <alignment horizontal="left" vertical="center" wrapText="1"/>
    </xf>
    <xf numFmtId="0" fontId="70" fillId="9" borderId="0" xfId="0" applyNumberFormat="1" applyFont="1" applyFill="1" applyAlignment="1">
      <alignment horizontal="center" vertical="center" wrapText="1"/>
    </xf>
    <xf numFmtId="49" fontId="63" fillId="0" borderId="9" xfId="0" applyNumberFormat="1" applyFont="1" applyBorder="1" applyAlignment="1">
      <alignment horizontal="left" vertical="center" wrapText="1"/>
    </xf>
    <xf numFmtId="0" fontId="40" fillId="0" borderId="0" xfId="0" applyNumberFormat="1" applyFont="1" applyAlignment="1">
      <alignment vertical="center"/>
    </xf>
    <xf numFmtId="0" fontId="40" fillId="9" borderId="0" xfId="0" applyNumberFormat="1" applyFont="1" applyFill="1" applyAlignment="1"/>
    <xf numFmtId="0" fontId="40" fillId="9" borderId="0" xfId="0" applyNumberFormat="1" applyFont="1" applyFill="1" applyAlignment="1">
      <alignment vertical="center" wrapText="1"/>
    </xf>
    <xf numFmtId="0" fontId="40" fillId="0" borderId="0" xfId="33" applyFont="1" applyAlignment="1">
      <alignment vertical="center" wrapText="1"/>
    </xf>
    <xf numFmtId="49" fontId="8" fillId="0" borderId="0" xfId="0" applyNumberFormat="1" applyFont="1">
      <alignment vertical="top"/>
    </xf>
    <xf numFmtId="0" fontId="8" fillId="0" borderId="0" xfId="0" applyNumberFormat="1" applyFont="1" applyAlignment="1">
      <alignment vertical="center" wrapText="1"/>
    </xf>
    <xf numFmtId="0" fontId="30" fillId="9" borderId="0" xfId="0" applyNumberFormat="1" applyFont="1" applyFill="1" applyAlignment="1">
      <alignment horizontal="center" vertical="center" wrapText="1"/>
    </xf>
    <xf numFmtId="0" fontId="35" fillId="0" borderId="0" xfId="0" applyNumberFormat="1" applyFont="1" applyAlignment="1">
      <alignment vertical="center" wrapText="1"/>
    </xf>
    <xf numFmtId="49" fontId="8" fillId="0" borderId="4" xfId="0" applyNumberFormat="1" applyFont="1" applyBorder="1" applyAlignment="1">
      <alignment horizontal="left" vertical="center" wrapText="1"/>
    </xf>
    <xf numFmtId="0" fontId="8" fillId="0" borderId="0" xfId="0" applyNumberFormat="1" applyFont="1" applyAlignment="1">
      <alignment vertical="center" wrapText="1"/>
    </xf>
    <xf numFmtId="49" fontId="40" fillId="0" borderId="0" xfId="0" applyNumberFormat="1" applyFont="1" applyAlignment="1">
      <alignment vertical="center" wrapText="1"/>
    </xf>
    <xf numFmtId="0" fontId="40" fillId="0" borderId="0" xfId="0" applyNumberFormat="1" applyFont="1" applyAlignment="1">
      <alignment vertical="center" wrapText="1"/>
    </xf>
    <xf numFmtId="0" fontId="8" fillId="0" borderId="4" xfId="0" applyNumberFormat="1" applyFont="1" applyBorder="1" applyAlignment="1">
      <alignment horizontal="center" vertical="center" wrapText="1"/>
    </xf>
    <xf numFmtId="14" fontId="8" fillId="13" borderId="7" xfId="0" applyNumberFormat="1" applyFont="1" applyFill="1" applyBorder="1" applyAlignment="1">
      <alignment horizontal="center" vertical="center" wrapText="1"/>
    </xf>
    <xf numFmtId="49" fontId="8" fillId="13" borderId="7" xfId="0" applyNumberFormat="1" applyFont="1" applyFill="1" applyBorder="1" applyAlignment="1">
      <alignment horizontal="center" vertical="center" wrapText="1"/>
    </xf>
    <xf numFmtId="14" fontId="71" fillId="13" borderId="7" xfId="0" applyNumberFormat="1" applyFont="1" applyFill="1" applyBorder="1" applyAlignment="1">
      <alignment horizontal="center" vertical="center" wrapText="1"/>
    </xf>
    <xf numFmtId="0" fontId="40" fillId="0" borderId="0" xfId="0" applyNumberFormat="1" applyFont="1" applyAlignment="1">
      <alignment horizontal="left" vertical="center" wrapText="1"/>
    </xf>
    <xf numFmtId="49" fontId="40" fillId="0" borderId="0" xfId="0" applyNumberFormat="1" applyFont="1" applyAlignment="1">
      <alignment horizontal="left" vertical="center" wrapText="1"/>
    </xf>
    <xf numFmtId="0" fontId="40" fillId="0" borderId="0" xfId="0" applyNumberFormat="1" applyFont="1" applyAlignment="1">
      <alignment vertical="center" wrapText="1"/>
    </xf>
    <xf numFmtId="49" fontId="13" fillId="0" borderId="4" xfId="0" applyNumberFormat="1" applyFont="1" applyBorder="1" applyAlignment="1">
      <alignment horizontal="left" vertical="center" wrapText="1"/>
    </xf>
    <xf numFmtId="14" fontId="8" fillId="15" borderId="4" xfId="0" applyNumberFormat="1" applyFont="1" applyFill="1" applyBorder="1" applyAlignment="1">
      <alignment horizontal="center" vertical="center" wrapText="1"/>
    </xf>
    <xf numFmtId="0" fontId="8" fillId="0" borderId="4" xfId="0" applyNumberFormat="1" applyFont="1" applyBorder="1" applyAlignment="1">
      <alignment horizontal="center" vertical="center" wrapText="1"/>
    </xf>
    <xf numFmtId="0" fontId="8" fillId="0" borderId="0" xfId="0" applyNumberFormat="1" applyFont="1" applyAlignment="1">
      <alignment horizontal="center" vertical="center" wrapText="1"/>
    </xf>
    <xf numFmtId="0" fontId="8" fillId="0" borderId="4" xfId="0" applyNumberFormat="1" applyFont="1" applyBorder="1" applyAlignment="1">
      <alignment horizontal="center" vertical="center" wrapText="1"/>
    </xf>
    <xf numFmtId="49" fontId="8" fillId="15" borderId="4" xfId="0" applyNumberFormat="1" applyFont="1" applyFill="1" applyBorder="1" applyAlignment="1">
      <alignment horizontal="center" vertical="center" wrapText="1"/>
    </xf>
    <xf numFmtId="0" fontId="72" fillId="0" borderId="0" xfId="0" applyNumberFormat="1" applyFont="1" applyAlignment="1">
      <alignment horizontal="center" vertical="center" wrapText="1"/>
    </xf>
    <xf numFmtId="0" fontId="30" fillId="0" borderId="0" xfId="0" applyNumberFormat="1" applyFont="1" applyAlignment="1">
      <alignment horizontal="center" vertical="center" wrapText="1"/>
    </xf>
    <xf numFmtId="49" fontId="8" fillId="0" borderId="4" xfId="0" applyNumberFormat="1" applyFont="1" applyBorder="1" applyAlignment="1">
      <alignment horizontal="center" vertical="center" wrapText="1"/>
    </xf>
    <xf numFmtId="0" fontId="0" fillId="9" borderId="6" xfId="0" applyNumberFormat="1" applyFont="1" applyFill="1" applyBorder="1" applyAlignment="1">
      <alignment horizontal="left" vertical="center" wrapText="1"/>
    </xf>
    <xf numFmtId="49" fontId="19" fillId="13" borderId="7" xfId="0" applyNumberFormat="1" applyFont="1" applyFill="1" applyBorder="1" applyAlignment="1">
      <alignment horizontal="center" vertical="center"/>
    </xf>
    <xf numFmtId="0" fontId="26" fillId="0" borderId="0" xfId="33" applyFont="1" applyAlignment="1">
      <alignment vertical="center" wrapText="1"/>
    </xf>
    <xf numFmtId="0" fontId="25" fillId="0" borderId="0" xfId="33" applyFont="1" applyAlignment="1">
      <alignment horizontal="center" vertical="center" wrapText="1"/>
    </xf>
    <xf numFmtId="0" fontId="8" fillId="0" borderId="0" xfId="33" applyFont="1" applyAlignment="1">
      <alignment horizontal="center" vertical="center" wrapText="1"/>
    </xf>
    <xf numFmtId="0" fontId="39" fillId="0" borderId="0" xfId="33" applyFont="1" applyAlignment="1">
      <alignment horizontal="center" vertical="center" wrapText="1"/>
    </xf>
    <xf numFmtId="0" fontId="73" fillId="0" borderId="0" xfId="33" applyFont="1" applyAlignment="1">
      <alignment vertical="center" wrapText="1"/>
    </xf>
    <xf numFmtId="49" fontId="39" fillId="0" borderId="0" xfId="0" applyNumberFormat="1" applyFont="1" applyAlignment="1">
      <alignment horizontal="center" vertical="center" wrapText="1"/>
    </xf>
    <xf numFmtId="0" fontId="39" fillId="0" borderId="0" xfId="0" applyNumberFormat="1" applyFont="1" applyAlignment="1">
      <alignment vertical="center" wrapText="1"/>
    </xf>
    <xf numFmtId="49" fontId="8" fillId="0" borderId="0" xfId="0" applyNumberFormat="1" applyFont="1" applyAlignment="1">
      <alignment horizontal="center" vertical="top" wrapText="1"/>
    </xf>
    <xf numFmtId="49" fontId="8" fillId="0" borderId="4" xfId="0" applyNumberFormat="1" applyFont="1" applyBorder="1" applyAlignment="1">
      <alignment horizontal="center" vertical="center" wrapText="1"/>
    </xf>
    <xf numFmtId="49" fontId="8" fillId="14" borderId="4" xfId="0" applyNumberFormat="1" applyFont="1" applyFill="1" applyBorder="1" applyAlignment="1" applyProtection="1">
      <alignment vertical="center" wrapText="1"/>
      <protection locked="0"/>
    </xf>
    <xf numFmtId="4" fontId="8" fillId="6" borderId="4" xfId="0" applyNumberFormat="1" applyFont="1" applyFill="1" applyBorder="1" applyAlignment="1" applyProtection="1">
      <alignment horizontal="right" vertical="center" wrapText="1"/>
      <protection locked="0"/>
    </xf>
    <xf numFmtId="0" fontId="8" fillId="0" borderId="5" xfId="0" applyNumberFormat="1" applyFont="1" applyBorder="1" applyAlignment="1">
      <alignment vertical="top" wrapText="1"/>
    </xf>
    <xf numFmtId="0" fontId="74" fillId="0" borderId="0" xfId="0" applyNumberFormat="1" applyFont="1" applyAlignment="1">
      <alignment vertical="center" wrapText="1"/>
    </xf>
    <xf numFmtId="0" fontId="44" fillId="0" borderId="0" xfId="0" applyNumberFormat="1" applyFont="1" applyAlignment="1">
      <alignment vertical="center" wrapText="1"/>
    </xf>
    <xf numFmtId="167" fontId="8" fillId="6" borderId="4" xfId="0" applyNumberFormat="1" applyFont="1" applyFill="1" applyBorder="1" applyAlignment="1" applyProtection="1">
      <alignment horizontal="right" vertical="center" wrapText="1"/>
      <protection locked="0"/>
    </xf>
    <xf numFmtId="0" fontId="8" fillId="0" borderId="21" xfId="0" applyNumberFormat="1" applyFont="1" applyBorder="1" applyAlignment="1">
      <alignment horizontal="center" vertical="center" wrapText="1"/>
    </xf>
    <xf numFmtId="0" fontId="8" fillId="14" borderId="4" xfId="0" applyNumberFormat="1" applyFont="1" applyFill="1" applyBorder="1" applyAlignment="1" applyProtection="1">
      <alignment horizontal="left" vertical="center" wrapText="1" indent="2"/>
      <protection locked="0"/>
    </xf>
    <xf numFmtId="49" fontId="40" fillId="0" borderId="0" xfId="0" applyNumberFormat="1" applyFont="1" applyAlignment="1">
      <alignment horizontal="center" vertical="center" wrapText="1"/>
    </xf>
    <xf numFmtId="0" fontId="40" fillId="0" borderId="21" xfId="0" applyNumberFormat="1" applyFont="1" applyBorder="1" applyAlignment="1">
      <alignment horizontal="center" vertical="center" wrapText="1"/>
    </xf>
    <xf numFmtId="0" fontId="40" fillId="0" borderId="4" xfId="0" applyNumberFormat="1" applyFont="1" applyBorder="1" applyAlignment="1">
      <alignment horizontal="left" vertical="center" wrapText="1" indent="2"/>
    </xf>
    <xf numFmtId="0" fontId="40" fillId="0" borderId="4" xfId="0" applyNumberFormat="1" applyFont="1" applyBorder="1" applyAlignment="1">
      <alignment horizontal="center" vertical="center" wrapText="1"/>
    </xf>
    <xf numFmtId="0" fontId="40" fillId="0" borderId="4" xfId="0" applyNumberFormat="1" applyFont="1" applyBorder="1" applyAlignment="1">
      <alignment vertical="center" wrapText="1"/>
    </xf>
    <xf numFmtId="0" fontId="8" fillId="0" borderId="4" xfId="0" applyNumberFormat="1" applyFont="1" applyBorder="1" applyAlignment="1">
      <alignment horizontal="left" vertical="center" wrapText="1" indent="3"/>
    </xf>
    <xf numFmtId="49" fontId="8" fillId="14" borderId="4" xfId="0" applyNumberFormat="1" applyFont="1" applyFill="1" applyBorder="1" applyAlignment="1" applyProtection="1">
      <alignment horizontal="center" vertical="center" wrapText="1"/>
      <protection locked="0"/>
    </xf>
    <xf numFmtId="0" fontId="8" fillId="6" borderId="4" xfId="0" applyNumberFormat="1" applyFont="1" applyFill="1" applyBorder="1" applyAlignment="1" applyProtection="1">
      <alignment horizontal="left" vertical="center" wrapText="1"/>
      <protection locked="0"/>
    </xf>
    <xf numFmtId="0" fontId="7" fillId="0" borderId="0" xfId="0" applyNumberFormat="1" applyFont="1" applyAlignment="1">
      <alignment vertical="center" wrapText="1"/>
    </xf>
    <xf numFmtId="4" fontId="8" fillId="14" borderId="4" xfId="0" applyNumberFormat="1" applyFont="1" applyFill="1" applyBorder="1" applyAlignment="1" applyProtection="1">
      <alignment horizontal="right" vertical="center" wrapText="1"/>
      <protection locked="0"/>
    </xf>
    <xf numFmtId="4" fontId="8" fillId="11" borderId="4" xfId="0" applyNumberFormat="1" applyFont="1" applyFill="1" applyBorder="1" applyAlignment="1">
      <alignment horizontal="right" vertical="center" wrapText="1"/>
    </xf>
    <xf numFmtId="0" fontId="8" fillId="0" borderId="4" xfId="0" applyNumberFormat="1" applyFont="1" applyBorder="1" applyAlignment="1">
      <alignment horizontal="left" vertical="center" wrapText="1" indent="1"/>
    </xf>
    <xf numFmtId="49" fontId="63" fillId="0" borderId="0" xfId="0" applyNumberFormat="1" applyFont="1" applyAlignment="1">
      <alignment horizontal="center" vertical="center" wrapText="1"/>
    </xf>
    <xf numFmtId="49" fontId="63" fillId="0" borderId="21" xfId="0" applyNumberFormat="1" applyFont="1" applyBorder="1" applyAlignment="1">
      <alignment horizontal="center" vertical="center" wrapText="1"/>
    </xf>
    <xf numFmtId="0" fontId="63" fillId="0" borderId="4" xfId="0" applyNumberFormat="1" applyFont="1" applyBorder="1" applyAlignment="1">
      <alignment horizontal="left" vertical="center" wrapText="1" indent="2"/>
    </xf>
    <xf numFmtId="0" fontId="63" fillId="0" borderId="4" xfId="0" applyNumberFormat="1" applyFont="1" applyBorder="1" applyAlignment="1">
      <alignment horizontal="center" vertical="center" wrapText="1"/>
    </xf>
    <xf numFmtId="0" fontId="63" fillId="0" borderId="4" xfId="0" applyNumberFormat="1" applyFont="1" applyBorder="1" applyAlignment="1">
      <alignment vertical="center" wrapText="1"/>
    </xf>
    <xf numFmtId="0" fontId="75" fillId="0" borderId="0" xfId="0" applyNumberFormat="1" applyFont="1" applyAlignment="1">
      <alignment vertical="center" wrapText="1"/>
    </xf>
    <xf numFmtId="0" fontId="53" fillId="0" borderId="0" xfId="0" applyNumberFormat="1" applyFont="1" applyAlignment="1">
      <alignment vertical="center" wrapText="1"/>
    </xf>
    <xf numFmtId="0" fontId="63" fillId="0" borderId="21" xfId="0" applyNumberFormat="1" applyFont="1" applyBorder="1" applyAlignment="1">
      <alignment horizontal="center" vertical="center" wrapText="1"/>
    </xf>
    <xf numFmtId="0" fontId="63" fillId="0" borderId="4" xfId="0" applyNumberFormat="1" applyFont="1" applyBorder="1" applyAlignment="1">
      <alignment horizontal="left" vertical="center" wrapText="1" indent="3"/>
    </xf>
    <xf numFmtId="4" fontId="63" fillId="0" borderId="4" xfId="0" applyNumberFormat="1" applyFont="1" applyBorder="1" applyAlignment="1">
      <alignment horizontal="right" vertical="center" wrapText="1"/>
    </xf>
    <xf numFmtId="49" fontId="8" fillId="13" borderId="6" xfId="0" applyNumberFormat="1" applyFont="1" applyFill="1" applyBorder="1" applyAlignment="1">
      <alignment vertical="center" wrapText="1"/>
    </xf>
    <xf numFmtId="49" fontId="33" fillId="13" borderId="7" xfId="0" applyNumberFormat="1" applyFont="1" applyFill="1" applyBorder="1" applyAlignment="1">
      <alignment horizontal="left" vertical="center" indent="2"/>
    </xf>
    <xf numFmtId="0" fontId="8" fillId="13" borderId="7" xfId="0" applyNumberFormat="1" applyFont="1" applyFill="1" applyBorder="1" applyAlignment="1">
      <alignment vertical="center" wrapText="1"/>
    </xf>
    <xf numFmtId="0" fontId="39" fillId="13" borderId="5" xfId="0" applyNumberFormat="1" applyFont="1" applyFill="1" applyBorder="1" applyAlignment="1">
      <alignment vertical="center" wrapText="1"/>
    </xf>
    <xf numFmtId="14" fontId="8" fillId="0" borderId="0" xfId="0" applyNumberFormat="1" applyFont="1" applyAlignment="1">
      <alignment horizontal="center" vertical="center" wrapText="1"/>
    </xf>
    <xf numFmtId="49" fontId="19" fillId="0" borderId="0" xfId="0" applyNumberFormat="1" applyFont="1" applyAlignment="1">
      <alignment horizontal="center" vertical="center"/>
    </xf>
    <xf numFmtId="0" fontId="8" fillId="0" borderId="4" xfId="0" applyNumberFormat="1" applyFont="1" applyBorder="1" applyAlignment="1">
      <alignment horizontal="left" vertical="center" wrapText="1" indent="2"/>
    </xf>
    <xf numFmtId="167" fontId="8" fillId="14" borderId="4" xfId="0" applyNumberFormat="1" applyFont="1" applyFill="1" applyBorder="1" applyAlignment="1" applyProtection="1">
      <alignment horizontal="right" vertical="center" wrapText="1"/>
      <protection locked="0"/>
    </xf>
    <xf numFmtId="0" fontId="8" fillId="0" borderId="9" xfId="0" applyNumberFormat="1" applyFont="1" applyBorder="1" applyAlignment="1">
      <alignment horizontal="center" vertical="center" wrapText="1"/>
    </xf>
    <xf numFmtId="4" fontId="8" fillId="11" borderId="9" xfId="0" applyNumberFormat="1" applyFont="1" applyFill="1" applyBorder="1" applyAlignment="1">
      <alignment horizontal="right" vertical="center" wrapText="1"/>
    </xf>
    <xf numFmtId="49" fontId="33" fillId="13" borderId="7" xfId="0" applyNumberFormat="1" applyFont="1" applyFill="1" applyBorder="1" applyAlignment="1">
      <alignment horizontal="left" vertical="center" indent="1"/>
    </xf>
    <xf numFmtId="0" fontId="8" fillId="0" borderId="0" xfId="0" applyNumberFormat="1" applyFont="1" applyAlignment="1">
      <alignment horizontal="left" vertical="center" wrapText="1"/>
    </xf>
    <xf numFmtId="0" fontId="8" fillId="0" borderId="0" xfId="0" applyNumberFormat="1" applyFont="1" applyAlignment="1">
      <alignment vertical="center"/>
    </xf>
    <xf numFmtId="0" fontId="39" fillId="0" borderId="0" xfId="0" applyNumberFormat="1" applyFont="1" applyAlignment="1">
      <alignment vertical="center"/>
    </xf>
    <xf numFmtId="0" fontId="8" fillId="0" borderId="0" xfId="0" applyNumberFormat="1" applyFont="1" applyAlignment="1">
      <alignment vertical="center"/>
    </xf>
    <xf numFmtId="0" fontId="76" fillId="0" borderId="0" xfId="0" applyNumberFormat="1" applyFont="1" applyAlignment="1">
      <alignment vertical="center"/>
    </xf>
    <xf numFmtId="0" fontId="8" fillId="0" borderId="0" xfId="0" applyNumberFormat="1" applyFont="1" applyAlignment="1">
      <alignment vertical="center" wrapText="1"/>
    </xf>
    <xf numFmtId="0" fontId="34" fillId="0" borderId="0" xfId="0" applyNumberFormat="1" applyFont="1" applyAlignment="1">
      <alignment vertical="center"/>
    </xf>
    <xf numFmtId="0" fontId="76" fillId="0" borderId="0" xfId="0" applyNumberFormat="1" applyFont="1" applyAlignment="1">
      <alignment vertical="center"/>
    </xf>
    <xf numFmtId="0" fontId="20" fillId="0" borderId="0" xfId="0" applyNumberFormat="1" applyFont="1" applyAlignment="1">
      <alignment vertical="center"/>
    </xf>
    <xf numFmtId="0" fontId="8" fillId="0" borderId="0" xfId="0" applyNumberFormat="1" applyFont="1" applyAlignment="1">
      <alignment horizontal="center" vertical="center" wrapText="1"/>
    </xf>
    <xf numFmtId="49" fontId="29" fillId="0" borderId="0" xfId="0" applyNumberFormat="1" applyFont="1" applyAlignment="1">
      <alignment horizontal="center" vertical="center" wrapText="1"/>
    </xf>
    <xf numFmtId="49" fontId="29" fillId="0" borderId="4" xfId="0" applyNumberFormat="1" applyFont="1" applyBorder="1" applyAlignment="1">
      <alignment horizontal="center" vertical="center" wrapText="1"/>
    </xf>
    <xf numFmtId="0" fontId="39" fillId="0" borderId="0" xfId="0" applyNumberFormat="1" applyFont="1" applyAlignment="1">
      <alignment vertical="center"/>
    </xf>
    <xf numFmtId="0" fontId="40" fillId="0" borderId="0" xfId="0" applyNumberFormat="1" applyFont="1" applyAlignment="1">
      <alignment horizontal="center" vertical="center"/>
    </xf>
    <xf numFmtId="0" fontId="8" fillId="0" borderId="0" xfId="0" applyNumberFormat="1" applyFont="1" applyAlignment="1">
      <alignment horizontal="center" vertical="center" wrapText="1"/>
    </xf>
    <xf numFmtId="0" fontId="8" fillId="13" borderId="6" xfId="0" applyNumberFormat="1" applyFont="1" applyFill="1" applyBorder="1" applyAlignment="1">
      <alignment horizontal="center" vertical="center" wrapText="1"/>
    </xf>
    <xf numFmtId="49" fontId="8" fillId="13" borderId="7" xfId="0" applyNumberFormat="1" applyFont="1" applyFill="1" applyBorder="1" applyAlignment="1">
      <alignment horizontal="center" vertical="center" wrapText="1"/>
    </xf>
    <xf numFmtId="0" fontId="0" fillId="13" borderId="5" xfId="0" applyNumberFormat="1" applyFont="1" applyFill="1" applyBorder="1" applyAlignment="1">
      <alignment vertical="center"/>
    </xf>
    <xf numFmtId="49" fontId="8" fillId="0" borderId="9" xfId="0" applyNumberFormat="1" applyFont="1" applyBorder="1" applyAlignment="1">
      <alignment horizontal="center" vertical="center" wrapText="1"/>
    </xf>
    <xf numFmtId="0" fontId="39" fillId="0" borderId="0" xfId="0" applyNumberFormat="1" applyFont="1" applyAlignment="1">
      <alignment vertical="center"/>
    </xf>
    <xf numFmtId="49" fontId="33" fillId="13" borderId="5" xfId="0" applyNumberFormat="1" applyFont="1" applyFill="1" applyBorder="1" applyAlignment="1">
      <alignment horizontal="left" vertical="center" indent="1"/>
    </xf>
    <xf numFmtId="49" fontId="19" fillId="13" borderId="5" xfId="0" applyNumberFormat="1" applyFont="1" applyFill="1" applyBorder="1" applyAlignment="1">
      <alignment horizontal="right" vertical="center" wrapText="1"/>
    </xf>
    <xf numFmtId="0" fontId="65" fillId="16" borderId="0" xfId="0" applyNumberFormat="1" applyFont="1" applyFill="1">
      <alignment vertical="top"/>
    </xf>
    <xf numFmtId="49" fontId="25" fillId="0" borderId="0" xfId="0" applyNumberFormat="1" applyFont="1" applyAlignment="1">
      <alignment horizontal="center" vertical="center" wrapText="1"/>
    </xf>
    <xf numFmtId="0" fontId="40" fillId="0" borderId="0" xfId="0" applyNumberFormat="1" applyFont="1" applyAlignment="1">
      <alignment vertical="center" wrapText="1"/>
    </xf>
    <xf numFmtId="0" fontId="25" fillId="0" borderId="0" xfId="0" applyNumberFormat="1" applyFont="1" applyAlignment="1">
      <alignment vertical="center" wrapText="1"/>
    </xf>
    <xf numFmtId="0" fontId="8" fillId="0" borderId="0" xfId="0" applyNumberFormat="1" applyFont="1" applyAlignment="1">
      <alignment horizontal="center" vertical="center" wrapText="1"/>
    </xf>
    <xf numFmtId="0" fontId="19" fillId="0" borderId="0" xfId="0" applyNumberFormat="1" applyFont="1" applyAlignment="1">
      <alignment horizontal="center" vertical="center" wrapText="1"/>
    </xf>
    <xf numFmtId="49" fontId="25" fillId="0" borderId="0" xfId="0" applyNumberFormat="1" applyFont="1" applyAlignment="1">
      <alignment horizontal="center" vertical="center" wrapText="1"/>
    </xf>
    <xf numFmtId="4" fontId="8" fillId="0" borderId="0" xfId="0" applyNumberFormat="1" applyFont="1" applyAlignment="1">
      <alignment horizontal="right" vertical="center" wrapText="1"/>
    </xf>
    <xf numFmtId="9" fontId="19" fillId="0" borderId="0" xfId="0" applyNumberFormat="1" applyFont="1" applyAlignment="1">
      <alignment horizontal="center" vertical="center" wrapText="1"/>
    </xf>
    <xf numFmtId="0" fontId="62" fillId="0" borderId="0" xfId="0" applyNumberFormat="1" applyFont="1" applyAlignment="1">
      <alignment vertical="center" wrapText="1"/>
    </xf>
    <xf numFmtId="0" fontId="40" fillId="0" borderId="0" xfId="0" applyNumberFormat="1" applyFont="1" applyAlignment="1">
      <alignment vertical="center" wrapText="1"/>
    </xf>
    <xf numFmtId="0" fontId="25" fillId="0" borderId="0" xfId="0" applyNumberFormat="1" applyFont="1" applyAlignment="1">
      <alignment vertical="center" wrapText="1"/>
    </xf>
    <xf numFmtId="49" fontId="53" fillId="0" borderId="0" xfId="0" applyNumberFormat="1" applyFont="1" applyAlignment="1">
      <alignment horizontal="center" vertical="center" wrapText="1"/>
    </xf>
    <xf numFmtId="0" fontId="53" fillId="0" borderId="0" xfId="0" applyNumberFormat="1" applyFont="1" applyAlignment="1">
      <alignment vertical="center" wrapText="1"/>
    </xf>
    <xf numFmtId="0" fontId="0" fillId="0" borderId="0" xfId="0" applyNumberFormat="1" applyFont="1">
      <alignment vertical="top"/>
    </xf>
    <xf numFmtId="49" fontId="0" fillId="0" borderId="0" xfId="0" applyNumberFormat="1" applyFont="1">
      <alignment vertical="top"/>
    </xf>
    <xf numFmtId="49" fontId="40" fillId="0" borderId="0" xfId="0" applyNumberFormat="1" applyFont="1">
      <alignment vertical="top"/>
    </xf>
    <xf numFmtId="49" fontId="39" fillId="0" borderId="0" xfId="0" applyNumberFormat="1" applyFont="1">
      <alignment vertical="top"/>
    </xf>
    <xf numFmtId="49" fontId="40" fillId="0" borderId="0" xfId="0" applyNumberFormat="1" applyFont="1">
      <alignment vertical="top"/>
    </xf>
    <xf numFmtId="49" fontId="39" fillId="0" borderId="0" xfId="0" applyNumberFormat="1" applyFont="1">
      <alignment vertical="top"/>
    </xf>
    <xf numFmtId="49" fontId="39" fillId="0" borderId="0" xfId="0" applyNumberFormat="1" applyFont="1">
      <alignment vertical="top"/>
    </xf>
    <xf numFmtId="0" fontId="39" fillId="0" borderId="0" xfId="0" applyNumberFormat="1" applyFont="1">
      <alignment vertical="top"/>
    </xf>
    <xf numFmtId="0" fontId="64" fillId="0" borderId="0" xfId="0" applyNumberFormat="1" applyFont="1">
      <alignment vertical="top"/>
    </xf>
    <xf numFmtId="0" fontId="77" fillId="0" borderId="0" xfId="0" applyNumberFormat="1" applyFont="1">
      <alignment vertical="top"/>
    </xf>
    <xf numFmtId="0" fontId="39" fillId="0" borderId="0" xfId="0" applyNumberFormat="1" applyFont="1" applyAlignment="1">
      <alignment horizontal="center" vertical="center" wrapText="1"/>
    </xf>
    <xf numFmtId="0" fontId="40" fillId="0" borderId="0" xfId="0" applyNumberFormat="1" applyFont="1" applyAlignment="1">
      <alignment horizontal="center" vertical="center" wrapText="1"/>
    </xf>
    <xf numFmtId="0" fontId="40" fillId="0" borderId="4" xfId="0" applyNumberFormat="1" applyFont="1" applyBorder="1" applyAlignment="1">
      <alignment horizontal="left" vertical="center" wrapText="1"/>
    </xf>
    <xf numFmtId="0" fontId="40" fillId="0" borderId="4" xfId="0" applyNumberFormat="1" applyFont="1" applyBorder="1" applyAlignment="1">
      <alignment vertical="center" wrapText="1"/>
    </xf>
    <xf numFmtId="49" fontId="0" fillId="0" borderId="4" xfId="0" applyNumberFormat="1" applyFont="1" applyBorder="1" applyAlignment="1">
      <alignment horizontal="center" vertical="center"/>
    </xf>
    <xf numFmtId="4" fontId="0" fillId="11" borderId="4" xfId="0" applyNumberFormat="1" applyFont="1" applyFill="1" applyBorder="1" applyAlignment="1">
      <alignment horizontal="right" vertical="center" wrapText="1"/>
    </xf>
    <xf numFmtId="49" fontId="0" fillId="0" borderId="22" xfId="0" applyNumberFormat="1" applyFont="1" applyBorder="1" applyAlignment="1">
      <alignment horizontal="center" vertical="center" wrapText="1"/>
    </xf>
    <xf numFmtId="49" fontId="0" fillId="14" borderId="4" xfId="0" applyNumberFormat="1" applyFont="1" applyFill="1" applyBorder="1" applyAlignment="1" applyProtection="1">
      <alignment horizontal="center" vertical="center" wrapText="1"/>
      <protection locked="0"/>
    </xf>
    <xf numFmtId="4" fontId="39" fillId="0" borderId="4" xfId="0" applyNumberFormat="1" applyFont="1" applyBorder="1" applyAlignment="1">
      <alignment horizontal="right" vertical="center" wrapText="1"/>
    </xf>
    <xf numFmtId="49" fontId="0" fillId="13" borderId="19" xfId="0" applyNumberFormat="1" applyFont="1" applyFill="1" applyBorder="1" applyAlignment="1">
      <alignment horizontal="center" vertical="center"/>
    </xf>
    <xf numFmtId="49" fontId="33" fillId="13" borderId="7" xfId="0" applyNumberFormat="1" applyFont="1" applyFill="1" applyBorder="1" applyAlignment="1">
      <alignment horizontal="left" vertical="center"/>
    </xf>
    <xf numFmtId="49" fontId="33" fillId="13" borderId="6" xfId="0" applyNumberFormat="1" applyFont="1" applyFill="1" applyBorder="1" applyAlignment="1">
      <alignment horizontal="left" vertical="center"/>
    </xf>
    <xf numFmtId="49" fontId="33" fillId="13" borderId="7" xfId="0" applyNumberFormat="1" applyFont="1" applyFill="1" applyBorder="1" applyAlignment="1">
      <alignment horizontal="left" vertical="center" indent="1"/>
    </xf>
    <xf numFmtId="49" fontId="33" fillId="13" borderId="7" xfId="0" applyNumberFormat="1" applyFont="1" applyFill="1" applyBorder="1" applyAlignment="1">
      <alignment horizontal="left" vertical="center"/>
    </xf>
    <xf numFmtId="49" fontId="33" fillId="13" borderId="5" xfId="0" applyNumberFormat="1" applyFont="1" applyFill="1" applyBorder="1" applyAlignment="1">
      <alignment horizontal="left" vertical="center" indent="1"/>
    </xf>
    <xf numFmtId="0" fontId="8" fillId="0" borderId="0" xfId="0" applyNumberFormat="1" applyFont="1" applyAlignment="1">
      <alignment horizontal="right" vertical="center" wrapText="1"/>
    </xf>
    <xf numFmtId="0" fontId="0" fillId="0" borderId="0" xfId="0" applyNumberFormat="1" applyFont="1" applyAlignment="1">
      <alignment vertical="center"/>
    </xf>
    <xf numFmtId="0" fontId="38" fillId="0" borderId="0" xfId="0" applyNumberFormat="1" applyFont="1" applyAlignment="1">
      <alignment horizontal="right" vertical="top" wrapText="1"/>
    </xf>
    <xf numFmtId="0" fontId="8" fillId="0" borderId="0" xfId="0" applyNumberFormat="1" applyFont="1" applyAlignment="1">
      <alignment vertical="top" wrapText="1"/>
    </xf>
    <xf numFmtId="0" fontId="8" fillId="0" borderId="0" xfId="0" applyNumberFormat="1" applyFont="1" applyAlignment="1">
      <alignment horizontal="left" vertical="top" wrapText="1"/>
    </xf>
    <xf numFmtId="0" fontId="29" fillId="0" borderId="0" xfId="0" applyNumberFormat="1" applyFont="1" applyAlignment="1">
      <alignment horizontal="center" vertical="center" wrapText="1"/>
    </xf>
    <xf numFmtId="4" fontId="8" fillId="0" borderId="4" xfId="0" applyNumberFormat="1" applyFont="1" applyBorder="1" applyAlignment="1">
      <alignment horizontal="center" vertical="center" wrapText="1"/>
    </xf>
    <xf numFmtId="49" fontId="13" fillId="6" borderId="6" xfId="0" applyNumberFormat="1" applyFont="1" applyFill="1" applyBorder="1" applyAlignment="1" applyProtection="1">
      <alignment horizontal="left" vertical="center" wrapText="1"/>
      <protection locked="0"/>
    </xf>
    <xf numFmtId="49" fontId="13" fillId="6" borderId="6" xfId="0" applyNumberFormat="1" applyFont="1" applyFill="1" applyBorder="1" applyAlignment="1" applyProtection="1">
      <alignment horizontal="left" vertical="center" wrapText="1"/>
      <protection locked="0"/>
    </xf>
    <xf numFmtId="49" fontId="8" fillId="14" borderId="4" xfId="0" applyNumberFormat="1" applyFont="1" applyFill="1" applyBorder="1" applyAlignment="1" applyProtection="1">
      <alignment horizontal="left" vertical="center" wrapText="1"/>
      <protection locked="0"/>
    </xf>
    <xf numFmtId="0" fontId="38" fillId="0" borderId="0" xfId="0" applyNumberFormat="1" applyFont="1">
      <alignment vertical="top"/>
    </xf>
    <xf numFmtId="49" fontId="8" fillId="0" borderId="23" xfId="0" applyNumberFormat="1" applyFont="1" applyBorder="1" applyAlignment="1">
      <alignment horizontal="center" vertical="center" wrapText="1"/>
    </xf>
    <xf numFmtId="0" fontId="8" fillId="0" borderId="23" xfId="0" applyNumberFormat="1" applyFont="1" applyBorder="1" applyAlignment="1">
      <alignment horizontal="left" vertical="center" wrapText="1"/>
    </xf>
    <xf numFmtId="0" fontId="8" fillId="0" borderId="23" xfId="0" applyNumberFormat="1" applyFont="1" applyBorder="1" applyAlignment="1">
      <alignment horizontal="left" vertical="center" wrapText="1" indent="1"/>
    </xf>
    <xf numFmtId="4" fontId="8" fillId="14" borderId="23" xfId="0" applyNumberFormat="1" applyFont="1" applyFill="1" applyBorder="1" applyAlignment="1" applyProtection="1">
      <alignment horizontal="right" vertical="center" wrapText="1"/>
      <protection locked="0"/>
    </xf>
    <xf numFmtId="49" fontId="8" fillId="0" borderId="24" xfId="0" applyNumberFormat="1" applyFont="1" applyBorder="1" applyAlignment="1">
      <alignment horizontal="center" vertical="center" wrapText="1"/>
    </xf>
    <xf numFmtId="49" fontId="8" fillId="14" borderId="4" xfId="0" applyNumberFormat="1" applyFont="1" applyFill="1" applyBorder="1" applyAlignment="1" applyProtection="1">
      <alignment horizontal="left" vertical="center" wrapText="1" indent="1"/>
      <protection locked="0"/>
    </xf>
    <xf numFmtId="0" fontId="8" fillId="0" borderId="23" xfId="0" applyNumberFormat="1" applyFont="1" applyBorder="1" applyAlignment="1">
      <alignment horizontal="left" vertical="center" wrapText="1" indent="2"/>
    </xf>
    <xf numFmtId="0" fontId="39" fillId="0" borderId="0" xfId="0" applyNumberFormat="1" applyFont="1" applyAlignment="1">
      <alignment horizontal="center" vertical="center" wrapText="1"/>
    </xf>
    <xf numFmtId="49" fontId="8" fillId="0" borderId="0" xfId="0" applyNumberFormat="1" applyFont="1" applyAlignment="1">
      <alignment horizontal="left" vertical="center" wrapText="1"/>
    </xf>
    <xf numFmtId="0" fontId="73" fillId="0" borderId="0" xfId="0" applyNumberFormat="1" applyFont="1" applyAlignment="1">
      <alignment vertical="center" wrapText="1"/>
    </xf>
    <xf numFmtId="0" fontId="73" fillId="0" borderId="0" xfId="0" applyNumberFormat="1" applyFont="1" applyAlignment="1">
      <alignment vertical="center" wrapText="1"/>
    </xf>
    <xf numFmtId="0" fontId="8" fillId="0" borderId="0" xfId="0" applyNumberFormat="1" applyFont="1" applyAlignment="1">
      <alignment horizontal="left" vertical="center" wrapText="1"/>
    </xf>
    <xf numFmtId="0" fontId="8" fillId="0" borderId="4" xfId="0" applyNumberFormat="1" applyFont="1" applyBorder="1" applyAlignment="1">
      <alignment horizontal="left" vertical="center" wrapText="1"/>
    </xf>
    <xf numFmtId="3" fontId="8" fillId="0" borderId="6" xfId="0" applyNumberFormat="1" applyFont="1" applyBorder="1" applyAlignment="1">
      <alignment vertical="center" wrapText="1"/>
    </xf>
    <xf numFmtId="0" fontId="8" fillId="0" borderId="5" xfId="0" applyNumberFormat="1" applyFont="1" applyBorder="1" applyAlignment="1">
      <alignment vertical="center" wrapText="1"/>
    </xf>
    <xf numFmtId="4" fontId="8" fillId="6" borderId="6" xfId="0" applyNumberFormat="1" applyFont="1" applyFill="1" applyBorder="1" applyAlignment="1" applyProtection="1">
      <alignment horizontal="right" vertical="center" wrapText="1"/>
      <protection locked="0"/>
    </xf>
    <xf numFmtId="4" fontId="8" fillId="0" borderId="6" xfId="0" applyNumberFormat="1" applyFont="1" applyBorder="1" applyAlignment="1">
      <alignment horizontal="right" vertical="center" wrapText="1"/>
    </xf>
    <xf numFmtId="4" fontId="8" fillId="0" borderId="19" xfId="0" applyNumberFormat="1" applyFont="1" applyBorder="1" applyAlignment="1">
      <alignment horizontal="right" vertical="center" wrapText="1"/>
    </xf>
    <xf numFmtId="0" fontId="8" fillId="0" borderId="6" xfId="0" applyNumberFormat="1" applyFont="1" applyBorder="1" applyAlignment="1">
      <alignment horizontal="center" vertical="center" wrapText="1"/>
    </xf>
    <xf numFmtId="3" fontId="8" fillId="14" borderId="6" xfId="0" applyNumberFormat="1" applyFont="1" applyFill="1" applyBorder="1" applyAlignment="1" applyProtection="1">
      <alignment vertical="center" wrapText="1"/>
      <protection locked="0"/>
    </xf>
    <xf numFmtId="49" fontId="8" fillId="6" borderId="6" xfId="0" applyNumberFormat="1" applyFont="1" applyFill="1" applyBorder="1" applyAlignment="1" applyProtection="1">
      <alignment horizontal="left" vertical="center" wrapText="1"/>
      <protection locked="0"/>
    </xf>
    <xf numFmtId="4" fontId="8" fillId="11" borderId="6" xfId="0" applyNumberFormat="1" applyFont="1" applyFill="1" applyBorder="1" applyAlignment="1">
      <alignment horizontal="right" vertical="center" wrapText="1"/>
    </xf>
    <xf numFmtId="0" fontId="8" fillId="0" borderId="0" xfId="0" applyNumberFormat="1" applyFont="1" applyAlignment="1">
      <alignment horizontal="left" vertical="center" wrapText="1"/>
    </xf>
    <xf numFmtId="0" fontId="0" fillId="0" borderId="6" xfId="0" applyNumberFormat="1" applyFont="1" applyBorder="1" applyAlignment="1">
      <alignment horizontal="center" vertical="center"/>
    </xf>
    <xf numFmtId="49" fontId="0" fillId="0" borderId="4" xfId="0" applyNumberFormat="1" applyFont="1" applyBorder="1" applyAlignment="1">
      <alignment horizontal="left" vertical="center" wrapText="1" indent="1"/>
    </xf>
    <xf numFmtId="0" fontId="8" fillId="0" borderId="5" xfId="0" applyNumberFormat="1" applyFont="1" applyBorder="1" applyAlignment="1">
      <alignment horizontal="center" vertical="center" wrapText="1"/>
    </xf>
    <xf numFmtId="49" fontId="0" fillId="0" borderId="6" xfId="0" applyNumberFormat="1" applyFont="1" applyBorder="1" applyAlignment="1">
      <alignment horizontal="center" vertical="center"/>
    </xf>
    <xf numFmtId="49" fontId="0" fillId="0" borderId="4" xfId="0" applyNumberFormat="1" applyFont="1" applyBorder="1" applyAlignment="1">
      <alignment vertical="center" wrapText="1"/>
    </xf>
    <xf numFmtId="0" fontId="8" fillId="13" borderId="11" xfId="0" applyNumberFormat="1" applyFont="1" applyFill="1" applyBorder="1" applyAlignment="1">
      <alignment vertical="center" wrapText="1"/>
    </xf>
    <xf numFmtId="0" fontId="8" fillId="0" borderId="7" xfId="0" applyNumberFormat="1" applyFont="1" applyBorder="1" applyAlignment="1">
      <alignment horizontal="center" vertical="center" wrapText="1"/>
    </xf>
    <xf numFmtId="0" fontId="8" fillId="13" borderId="20" xfId="0" applyNumberFormat="1" applyFont="1" applyFill="1" applyBorder="1" applyAlignment="1">
      <alignment vertical="center" wrapText="1"/>
    </xf>
    <xf numFmtId="49" fontId="8" fillId="14" borderId="6" xfId="0" applyNumberFormat="1" applyFont="1" applyFill="1" applyBorder="1" applyAlignment="1" applyProtection="1">
      <alignment horizontal="left" vertical="center" wrapText="1"/>
      <protection locked="0"/>
    </xf>
    <xf numFmtId="49" fontId="0" fillId="6" borderId="4" xfId="0" applyNumberFormat="1" applyFont="1" applyFill="1" applyBorder="1" applyAlignment="1" applyProtection="1">
      <alignment horizontal="left" vertical="center" wrapText="1"/>
      <protection locked="0"/>
    </xf>
    <xf numFmtId="0" fontId="7" fillId="0" borderId="0" xfId="0" applyNumberFormat="1" applyFont="1" applyAlignment="1">
      <alignment horizontal="left" vertical="center" wrapText="1" indent="1"/>
    </xf>
    <xf numFmtId="0" fontId="78" fillId="9" borderId="0" xfId="0" applyNumberFormat="1" applyFont="1" applyFill="1" applyAlignment="1">
      <alignment horizontal="center" vertical="center" wrapText="1"/>
    </xf>
    <xf numFmtId="0" fontId="78" fillId="9" borderId="0" xfId="0" applyNumberFormat="1" applyFont="1" applyFill="1" applyAlignment="1">
      <alignment horizontal="right" vertical="center" wrapText="1"/>
    </xf>
    <xf numFmtId="0" fontId="8" fillId="0" borderId="4" xfId="0" applyNumberFormat="1" applyFont="1" applyBorder="1" applyAlignment="1">
      <alignment horizontal="center" vertical="center" wrapText="1"/>
    </xf>
    <xf numFmtId="49" fontId="39" fillId="0" borderId="0" xfId="0" applyNumberFormat="1" applyFont="1" applyAlignment="1">
      <alignment horizontal="center" vertical="center" wrapText="1"/>
    </xf>
    <xf numFmtId="0" fontId="8" fillId="0" borderId="4" xfId="0" applyNumberFormat="1" applyFont="1" applyBorder="1" applyAlignment="1">
      <alignment horizontal="center" vertical="center" wrapText="1"/>
    </xf>
    <xf numFmtId="0" fontId="39" fillId="0" borderId="0" xfId="0" applyNumberFormat="1" applyFont="1" applyAlignment="1">
      <alignment horizontal="center" vertical="top"/>
    </xf>
    <xf numFmtId="0" fontId="8" fillId="0" borderId="4" xfId="0" applyNumberFormat="1" applyFont="1" applyBorder="1" applyAlignment="1">
      <alignment horizontal="left" vertical="center" wrapText="1"/>
    </xf>
    <xf numFmtId="0" fontId="40" fillId="0" borderId="0" xfId="0" applyNumberFormat="1" applyFont="1" applyAlignment="1">
      <alignment horizontal="center" vertical="center" wrapText="1"/>
    </xf>
    <xf numFmtId="0" fontId="8" fillId="0" borderId="4" xfId="0" applyNumberFormat="1" applyFont="1" applyBorder="1" applyAlignment="1">
      <alignment horizontal="left" vertical="center" wrapText="1"/>
    </xf>
    <xf numFmtId="49" fontId="8" fillId="15" borderId="4" xfId="0" applyNumberFormat="1" applyFont="1" applyFill="1" applyBorder="1" applyAlignment="1">
      <alignment horizontal="left" vertical="center" wrapText="1" indent="1"/>
    </xf>
    <xf numFmtId="0" fontId="8" fillId="0" borderId="6" xfId="0" applyNumberFormat="1" applyFont="1" applyBorder="1" applyAlignment="1">
      <alignment vertical="center" wrapText="1"/>
    </xf>
    <xf numFmtId="0" fontId="8" fillId="0" borderId="0" xfId="0" applyNumberFormat="1" applyFont="1" applyAlignment="1">
      <alignment horizontal="right" vertical="center"/>
    </xf>
    <xf numFmtId="49" fontId="13" fillId="13" borderId="5" xfId="0" applyNumberFormat="1" applyFont="1" applyFill="1" applyBorder="1" applyAlignment="1">
      <alignment horizontal="left" vertical="center" wrapText="1"/>
    </xf>
    <xf numFmtId="0" fontId="79" fillId="0" borderId="0" xfId="0" applyNumberFormat="1" applyFont="1" applyAlignment="1">
      <alignment vertical="center"/>
    </xf>
    <xf numFmtId="0" fontId="80" fillId="0" borderId="0" xfId="33" applyFont="1" applyAlignment="1">
      <alignment vertical="center"/>
    </xf>
    <xf numFmtId="49" fontId="40" fillId="0" borderId="14" xfId="0" applyNumberFormat="1" applyFont="1" applyBorder="1">
      <alignment vertical="top"/>
    </xf>
    <xf numFmtId="49" fontId="40" fillId="0" borderId="14" xfId="0" applyNumberFormat="1" applyFont="1" applyBorder="1">
      <alignment vertical="top"/>
    </xf>
    <xf numFmtId="0" fontId="40" fillId="0" borderId="14" xfId="0" applyNumberFormat="1" applyFont="1" applyBorder="1" applyAlignment="1">
      <alignment vertical="center" wrapText="1"/>
    </xf>
    <xf numFmtId="0" fontId="8" fillId="0" borderId="5" xfId="0" applyNumberFormat="1" applyFont="1" applyBorder="1" applyAlignment="1">
      <alignment horizontal="left" vertical="center" wrapText="1" indent="1"/>
    </xf>
    <xf numFmtId="0" fontId="62" fillId="0" borderId="14" xfId="0" applyNumberFormat="1" applyFont="1" applyBorder="1" applyAlignment="1">
      <alignment vertical="center" wrapText="1"/>
    </xf>
    <xf numFmtId="0" fontId="8" fillId="0" borderId="4" xfId="0" applyNumberFormat="1" applyFont="1" applyBorder="1" applyAlignment="1">
      <alignment horizontal="center" vertical="center" wrapText="1"/>
    </xf>
    <xf numFmtId="4" fontId="8" fillId="0" borderId="23" xfId="0" applyNumberFormat="1" applyFont="1" applyBorder="1" applyAlignment="1">
      <alignment horizontal="center" vertical="center" wrapText="1"/>
    </xf>
    <xf numFmtId="0" fontId="8" fillId="0" borderId="25" xfId="0" applyNumberFormat="1" applyFont="1" applyBorder="1" applyAlignment="1">
      <alignment horizontal="left" vertical="center" wrapText="1"/>
    </xf>
    <xf numFmtId="0" fontId="8" fillId="0" borderId="25" xfId="0" applyNumberFormat="1" applyFont="1" applyBorder="1" applyAlignment="1">
      <alignment horizontal="left" vertical="center" wrapText="1" indent="1"/>
    </xf>
    <xf numFmtId="4" fontId="8" fillId="14" borderId="25" xfId="0" applyNumberFormat="1" applyFont="1" applyFill="1" applyBorder="1" applyAlignment="1" applyProtection="1">
      <alignment horizontal="right" vertical="center" wrapText="1"/>
      <protection locked="0"/>
    </xf>
    <xf numFmtId="4" fontId="8" fillId="0" borderId="25" xfId="0" applyNumberFormat="1" applyFont="1" applyBorder="1" applyAlignment="1">
      <alignment horizontal="center" vertical="center" wrapText="1"/>
    </xf>
    <xf numFmtId="49" fontId="8" fillId="0" borderId="26" xfId="0" applyNumberFormat="1" applyFont="1" applyBorder="1" applyAlignment="1">
      <alignment horizontal="center" vertical="center" wrapText="1"/>
    </xf>
    <xf numFmtId="4" fontId="8" fillId="14" borderId="6" xfId="0" applyNumberFormat="1" applyFont="1" applyFill="1" applyBorder="1" applyAlignment="1" applyProtection="1">
      <alignment horizontal="right" vertical="center" wrapText="1"/>
      <protection locked="0"/>
    </xf>
    <xf numFmtId="4" fontId="8" fillId="14" borderId="26" xfId="0" applyNumberFormat="1" applyFont="1" applyFill="1" applyBorder="1" applyAlignment="1" applyProtection="1">
      <alignment horizontal="right" vertical="center" wrapText="1"/>
      <protection locked="0"/>
    </xf>
    <xf numFmtId="0" fontId="39" fillId="0" borderId="0" xfId="0" applyNumberFormat="1" applyFont="1" applyAlignment="1">
      <alignment horizontal="left" vertical="center" wrapText="1"/>
    </xf>
    <xf numFmtId="0" fontId="40" fillId="0" borderId="0" xfId="0" applyNumberFormat="1" applyFont="1" applyAlignment="1">
      <alignment horizontal="left" vertical="center" wrapText="1"/>
    </xf>
    <xf numFmtId="0" fontId="44" fillId="0" borderId="0" xfId="0" applyNumberFormat="1" applyFont="1" applyAlignment="1">
      <alignment horizontal="left" vertical="center" wrapText="1"/>
    </xf>
    <xf numFmtId="0" fontId="25" fillId="0" borderId="0" xfId="0" applyNumberFormat="1" applyFont="1" applyAlignment="1">
      <alignment horizontal="left" vertical="center" wrapText="1"/>
    </xf>
    <xf numFmtId="49" fontId="8" fillId="0" borderId="0" xfId="0" applyNumberFormat="1" applyFont="1" applyAlignment="1">
      <alignment horizontal="center" vertical="center" wrapText="1"/>
    </xf>
    <xf numFmtId="0" fontId="74" fillId="0" borderId="0" xfId="0" applyNumberFormat="1" applyFont="1" applyAlignment="1">
      <alignment vertical="center" wrapText="1"/>
    </xf>
    <xf numFmtId="0" fontId="40" fillId="0" borderId="0" xfId="0" applyNumberFormat="1" applyFont="1" applyAlignment="1">
      <alignment vertical="center" wrapText="1"/>
    </xf>
    <xf numFmtId="0" fontId="44" fillId="0" borderId="0" xfId="0" applyNumberFormat="1" applyFont="1" applyAlignment="1">
      <alignment vertical="center" wrapText="1"/>
    </xf>
    <xf numFmtId="0" fontId="25" fillId="0" borderId="0" xfId="0" applyNumberFormat="1" applyFont="1" applyAlignment="1">
      <alignment vertical="center" wrapText="1"/>
    </xf>
    <xf numFmtId="49" fontId="19" fillId="0" borderId="0" xfId="0" applyNumberFormat="1" applyFont="1" applyAlignment="1">
      <alignment horizontal="center" vertical="center"/>
    </xf>
    <xf numFmtId="4" fontId="8" fillId="0" borderId="27" xfId="0" applyNumberFormat="1" applyFont="1" applyBorder="1" applyAlignment="1">
      <alignment horizontal="center" vertical="center" wrapText="1"/>
    </xf>
    <xf numFmtId="4" fontId="8" fillId="14" borderId="27" xfId="0" applyNumberFormat="1" applyFont="1" applyFill="1" applyBorder="1" applyAlignment="1" applyProtection="1">
      <alignment horizontal="right" vertical="center" wrapText="1"/>
      <protection locked="0"/>
    </xf>
    <xf numFmtId="4" fontId="8" fillId="14" borderId="15" xfId="0" applyNumberFormat="1" applyFont="1" applyFill="1" applyBorder="1" applyAlignment="1" applyProtection="1">
      <alignment horizontal="right" vertical="center" wrapText="1"/>
      <protection locked="0"/>
    </xf>
    <xf numFmtId="49" fontId="8" fillId="0" borderId="25" xfId="0" applyNumberFormat="1" applyFont="1" applyBorder="1" applyAlignment="1">
      <alignment horizontal="center" vertical="center" wrapText="1"/>
    </xf>
    <xf numFmtId="0" fontId="8" fillId="0" borderId="27" xfId="0" applyNumberFormat="1" applyFont="1" applyBorder="1" applyAlignment="1">
      <alignment horizontal="left" vertical="center" wrapText="1"/>
    </xf>
    <xf numFmtId="0" fontId="8" fillId="0" borderId="12" xfId="0" applyNumberFormat="1" applyFont="1" applyBorder="1" applyAlignment="1">
      <alignment vertical="center" wrapText="1"/>
    </xf>
    <xf numFmtId="0" fontId="30" fillId="0" borderId="0" xfId="0" applyNumberFormat="1" applyFont="1" applyAlignment="1">
      <alignment horizontal="center" vertical="center" wrapText="1"/>
    </xf>
    <xf numFmtId="0" fontId="8" fillId="13" borderId="7" xfId="0" applyNumberFormat="1" applyFont="1" applyFill="1" applyBorder="1" applyAlignment="1">
      <alignment vertical="center" wrapText="1"/>
    </xf>
    <xf numFmtId="0" fontId="39" fillId="13" borderId="5" xfId="0" applyNumberFormat="1" applyFont="1" applyFill="1" applyBorder="1" applyAlignment="1">
      <alignment vertical="center" wrapText="1"/>
    </xf>
    <xf numFmtId="167" fontId="8" fillId="11" borderId="4" xfId="0" applyNumberFormat="1" applyFont="1" applyFill="1" applyBorder="1" applyAlignment="1">
      <alignment horizontal="right" vertical="center" wrapText="1"/>
    </xf>
    <xf numFmtId="49" fontId="16" fillId="14" borderId="4" xfId="0" applyNumberFormat="1" applyFont="1" applyFill="1" applyBorder="1" applyAlignment="1" applyProtection="1">
      <alignment horizontal="left" vertical="center" wrapText="1" indent="1"/>
      <protection locked="0"/>
    </xf>
    <xf numFmtId="0" fontId="60" fillId="9" borderId="0" xfId="0" applyNumberFormat="1" applyFont="1" applyFill="1" applyAlignment="1">
      <alignment horizontal="right" vertical="center"/>
    </xf>
    <xf numFmtId="49" fontId="0" fillId="0" borderId="4" xfId="0" applyNumberFormat="1" applyFont="1" applyBorder="1">
      <alignment vertical="top"/>
    </xf>
    <xf numFmtId="0" fontId="8" fillId="0" borderId="6" xfId="0" applyNumberFormat="1" applyFont="1" applyBorder="1" applyAlignment="1">
      <alignment horizontal="center" vertical="center" wrapText="1"/>
    </xf>
    <xf numFmtId="49" fontId="0" fillId="4" borderId="9" xfId="0" applyNumberFormat="1" applyFont="1" applyFill="1" applyBorder="1">
      <alignment vertical="top"/>
    </xf>
    <xf numFmtId="0" fontId="8" fillId="0" borderId="0" xfId="0" applyNumberFormat="1" applyFont="1" applyAlignment="1">
      <alignment vertical="center" wrapText="1"/>
    </xf>
    <xf numFmtId="0" fontId="25" fillId="0" borderId="0" xfId="0" applyNumberFormat="1" applyFont="1" applyAlignment="1">
      <alignment vertical="center" wrapText="1"/>
    </xf>
    <xf numFmtId="0" fontId="8" fillId="0" borderId="4" xfId="0" applyNumberFormat="1" applyFont="1" applyBorder="1" applyAlignment="1">
      <alignment horizontal="center" vertical="center" wrapText="1"/>
    </xf>
    <xf numFmtId="0" fontId="8" fillId="0" borderId="4" xfId="0" applyNumberFormat="1" applyFont="1" applyBorder="1" applyAlignment="1">
      <alignment horizontal="center" vertical="center" wrapText="1"/>
    </xf>
    <xf numFmtId="49" fontId="8" fillId="0" borderId="0" xfId="0" applyNumberFormat="1" applyFont="1" applyAlignment="1">
      <alignment vertical="center" wrapText="1"/>
    </xf>
    <xf numFmtId="0" fontId="8" fillId="0" borderId="0" xfId="0" applyNumberFormat="1" applyFont="1" applyAlignment="1">
      <alignment horizontal="center" vertical="center" wrapText="1"/>
    </xf>
    <xf numFmtId="49" fontId="0" fillId="0" borderId="6" xfId="0" applyNumberFormat="1" applyFont="1" applyBorder="1">
      <alignment vertical="top"/>
    </xf>
    <xf numFmtId="49" fontId="0" fillId="0" borderId="6" xfId="0" applyNumberFormat="1" applyFont="1" applyBorder="1" applyAlignment="1">
      <alignment horizontal="center" vertical="top"/>
    </xf>
    <xf numFmtId="49" fontId="0" fillId="0" borderId="7" xfId="0" applyNumberFormat="1" applyFont="1" applyBorder="1" applyAlignment="1">
      <alignment horizontal="center" vertical="top"/>
    </xf>
    <xf numFmtId="49" fontId="0" fillId="0" borderId="0" xfId="0" applyNumberFormat="1" applyFont="1">
      <alignment vertical="top"/>
    </xf>
    <xf numFmtId="0" fontId="8" fillId="0" borderId="0" xfId="33" applyFont="1" applyAlignment="1">
      <alignment horizontal="center" vertical="center" wrapText="1"/>
    </xf>
    <xf numFmtId="0" fontId="19" fillId="9" borderId="0" xfId="33" applyFont="1" applyFill="1" applyAlignment="1">
      <alignment vertical="center" wrapText="1"/>
    </xf>
    <xf numFmtId="0" fontId="13" fillId="0" borderId="0" xfId="0" applyNumberFormat="1" applyFont="1" applyAlignment="1">
      <alignment horizontal="left" vertical="center" indent="1"/>
    </xf>
    <xf numFmtId="0" fontId="0" fillId="9" borderId="0" xfId="33" applyFont="1" applyFill="1" applyAlignment="1">
      <alignment horizontal="right" vertical="center" wrapText="1" indent="1"/>
    </xf>
    <xf numFmtId="0" fontId="0" fillId="9" borderId="0" xfId="33" applyFont="1" applyFill="1" applyAlignment="1">
      <alignment horizontal="left" vertical="center" wrapText="1" indent="1"/>
    </xf>
    <xf numFmtId="14" fontId="8" fillId="9" borderId="0" xfId="33" applyNumberFormat="1" applyFont="1" applyFill="1" applyAlignment="1">
      <alignment horizontal="center" vertical="center" wrapText="1"/>
    </xf>
    <xf numFmtId="169" fontId="8" fillId="0" borderId="6" xfId="0" applyNumberFormat="1" applyFont="1" applyBorder="1" applyAlignment="1">
      <alignment horizontal="center" vertical="center" wrapText="1"/>
    </xf>
    <xf numFmtId="49" fontId="29" fillId="0" borderId="7" xfId="0" applyNumberFormat="1" applyFont="1" applyBorder="1" applyAlignment="1">
      <alignment horizontal="center" vertical="center" wrapText="1"/>
    </xf>
    <xf numFmtId="49" fontId="8" fillId="0" borderId="0" xfId="0" applyNumberFormat="1" applyFont="1" applyAlignment="1">
      <alignment horizontal="center" vertical="center" wrapText="1"/>
    </xf>
    <xf numFmtId="0" fontId="8" fillId="0" borderId="15" xfId="0" applyNumberFormat="1" applyFont="1" applyBorder="1" applyAlignment="1">
      <alignment horizontal="center" vertical="center" wrapText="1"/>
    </xf>
    <xf numFmtId="0" fontId="30" fillId="0" borderId="0" xfId="0" applyNumberFormat="1" applyFont="1" applyAlignment="1">
      <alignment horizontal="center" vertical="center" wrapText="1"/>
    </xf>
    <xf numFmtId="0" fontId="81" fillId="0" borderId="0" xfId="33" applyFont="1" applyAlignment="1">
      <alignment horizontal="left" vertical="center" wrapText="1"/>
    </xf>
    <xf numFmtId="0" fontId="81" fillId="0" borderId="0" xfId="33" applyFont="1" applyAlignment="1">
      <alignment horizontal="left" vertical="center" wrapText="1"/>
    </xf>
    <xf numFmtId="14" fontId="81" fillId="9" borderId="0" xfId="33" applyNumberFormat="1" applyFont="1" applyFill="1" applyAlignment="1">
      <alignment horizontal="left" vertical="center" wrapText="1"/>
    </xf>
    <xf numFmtId="14" fontId="82" fillId="0" borderId="0" xfId="33" applyNumberFormat="1" applyFont="1" applyAlignment="1">
      <alignment horizontal="center" vertical="center" wrapText="1"/>
    </xf>
    <xf numFmtId="0" fontId="81" fillId="0" borderId="0" xfId="33" applyFont="1" applyAlignment="1">
      <alignment horizontal="left" vertical="center" wrapText="1"/>
    </xf>
    <xf numFmtId="14" fontId="83" fillId="0" borderId="4" xfId="33" applyNumberFormat="1" applyFont="1" applyBorder="1" applyAlignment="1">
      <alignment horizontal="left" vertical="center" wrapText="1"/>
    </xf>
    <xf numFmtId="0" fontId="40" fillId="0" borderId="0" xfId="0" applyNumberFormat="1" applyFont="1" applyAlignment="1">
      <alignment vertical="center"/>
    </xf>
    <xf numFmtId="49" fontId="8" fillId="13" borderId="11" xfId="0" applyNumberFormat="1" applyFont="1" applyFill="1" applyBorder="1" applyAlignment="1">
      <alignment horizontal="center" vertical="center" wrapText="1"/>
    </xf>
    <xf numFmtId="49" fontId="8" fillId="11" borderId="15" xfId="0" applyNumberFormat="1" applyFont="1" applyFill="1" applyBorder="1" applyAlignment="1">
      <alignment horizontal="center" vertical="center" wrapText="1"/>
    </xf>
    <xf numFmtId="49" fontId="39" fillId="0" borderId="4" xfId="0" applyNumberFormat="1" applyFont="1" applyBorder="1" applyAlignment="1">
      <alignment horizontal="left" vertical="center" wrapText="1"/>
    </xf>
    <xf numFmtId="14" fontId="8" fillId="15" borderId="15" xfId="0" applyNumberFormat="1" applyFont="1" applyFill="1" applyBorder="1" applyAlignment="1">
      <alignment horizontal="left" vertical="center" wrapText="1" indent="1"/>
    </xf>
    <xf numFmtId="49" fontId="8" fillId="13" borderId="6" xfId="0" applyNumberFormat="1" applyFont="1" applyFill="1" applyBorder="1" applyAlignment="1">
      <alignment horizontal="right" vertical="center" wrapText="1"/>
    </xf>
    <xf numFmtId="0" fontId="40" fillId="0" borderId="15" xfId="0" applyNumberFormat="1" applyFont="1" applyBorder="1" applyAlignment="1">
      <alignment horizontal="center" vertical="center" wrapText="1"/>
    </xf>
    <xf numFmtId="49" fontId="8" fillId="0" borderId="5" xfId="0" applyNumberFormat="1" applyFont="1" applyBorder="1" applyAlignment="1">
      <alignment horizontal="center" vertical="top"/>
    </xf>
    <xf numFmtId="49" fontId="8" fillId="0" borderId="4" xfId="0" applyNumberFormat="1" applyFont="1" applyBorder="1" applyAlignment="1">
      <alignment horizontal="center" vertical="top"/>
    </xf>
    <xf numFmtId="0" fontId="8" fillId="0" borderId="15" xfId="0" applyNumberFormat="1" applyFont="1" applyBorder="1" applyAlignment="1">
      <alignment horizontal="center" vertical="center" wrapText="1"/>
    </xf>
    <xf numFmtId="49" fontId="8" fillId="0" borderId="6" xfId="0" applyNumberFormat="1" applyFont="1" applyBorder="1" applyAlignment="1">
      <alignment horizontal="center" vertical="top"/>
    </xf>
    <xf numFmtId="0" fontId="29" fillId="0" borderId="16" xfId="0" applyNumberFormat="1" applyFont="1" applyBorder="1" applyAlignment="1">
      <alignment vertical="top" wrapText="1"/>
    </xf>
    <xf numFmtId="0" fontId="29" fillId="0" borderId="0" xfId="0" applyNumberFormat="1" applyFont="1" applyAlignment="1">
      <alignment vertical="top" wrapText="1"/>
    </xf>
    <xf numFmtId="0" fontId="40" fillId="0" borderId="4" xfId="0" applyNumberFormat="1" applyFont="1" applyBorder="1" applyAlignment="1">
      <alignment horizontal="center" vertical="center" wrapText="1"/>
    </xf>
    <xf numFmtId="0" fontId="8" fillId="0" borderId="4" xfId="0" applyNumberFormat="1" applyFont="1" applyBorder="1" applyAlignment="1">
      <alignment horizontal="center" vertical="center" wrapText="1"/>
    </xf>
    <xf numFmtId="49" fontId="8" fillId="0" borderId="4" xfId="0" applyNumberFormat="1" applyFont="1" applyBorder="1" applyAlignment="1">
      <alignment horizontal="center" vertical="center" wrapText="1"/>
    </xf>
    <xf numFmtId="49" fontId="8" fillId="0" borderId="0" xfId="0" applyNumberFormat="1" applyFont="1" applyAlignment="1">
      <alignment horizontal="center" vertical="center" wrapText="1"/>
    </xf>
    <xf numFmtId="0" fontId="8" fillId="0" borderId="4" xfId="0" applyNumberFormat="1" applyFont="1" applyBorder="1" applyAlignment="1">
      <alignment horizontal="center" vertical="center" wrapText="1"/>
    </xf>
    <xf numFmtId="0" fontId="8" fillId="0" borderId="6" xfId="0" applyNumberFormat="1" applyFont="1" applyBorder="1" applyAlignment="1">
      <alignment horizontal="center" vertical="center" wrapText="1"/>
    </xf>
    <xf numFmtId="0" fontId="8" fillId="0" borderId="4" xfId="0" applyNumberFormat="1" applyFont="1" applyBorder="1" applyAlignment="1">
      <alignment horizontal="center" vertical="center" wrapText="1"/>
    </xf>
    <xf numFmtId="0" fontId="8" fillId="0" borderId="9" xfId="0" applyNumberFormat="1" applyFont="1" applyBorder="1" applyAlignment="1">
      <alignment horizontal="center" vertical="center" wrapText="1"/>
    </xf>
    <xf numFmtId="0" fontId="39" fillId="0" borderId="14" xfId="0" applyNumberFormat="1" applyFont="1" applyBorder="1" applyAlignment="1">
      <alignment vertical="center"/>
    </xf>
    <xf numFmtId="0" fontId="8" fillId="0" borderId="5" xfId="0" applyNumberFormat="1" applyFont="1" applyBorder="1" applyAlignment="1">
      <alignment horizontal="center" vertical="center" wrapText="1"/>
    </xf>
    <xf numFmtId="49" fontId="8" fillId="15" borderId="4" xfId="0" applyNumberFormat="1" applyFont="1" applyFill="1" applyBorder="1" applyAlignment="1">
      <alignment horizontal="center" vertical="center" wrapText="1"/>
    </xf>
    <xf numFmtId="0" fontId="8" fillId="0" borderId="4" xfId="0" applyNumberFormat="1" applyFont="1" applyBorder="1" applyAlignment="1">
      <alignment horizontal="center" vertical="center" wrapText="1"/>
    </xf>
    <xf numFmtId="0" fontId="8" fillId="11" borderId="6" xfId="0" applyNumberFormat="1" applyFont="1" applyFill="1" applyBorder="1" applyAlignment="1">
      <alignment horizontal="left" vertical="top" wrapText="1" indent="1"/>
    </xf>
    <xf numFmtId="3" fontId="8" fillId="6" borderId="6" xfId="0" applyNumberFormat="1" applyFont="1" applyFill="1" applyBorder="1" applyAlignment="1" applyProtection="1">
      <alignment horizontal="right" vertical="center" wrapText="1"/>
      <protection locked="0"/>
    </xf>
    <xf numFmtId="49" fontId="13" fillId="6" borderId="4" xfId="0" applyNumberFormat="1" applyFont="1" applyFill="1" applyBorder="1" applyAlignment="1" applyProtection="1">
      <alignment horizontal="left" vertical="center" wrapText="1"/>
      <protection locked="0"/>
    </xf>
    <xf numFmtId="0" fontId="13" fillId="0" borderId="0" xfId="0" applyNumberFormat="1" applyFont="1" applyAlignment="1">
      <alignment vertical="center" wrapText="1"/>
    </xf>
    <xf numFmtId="0" fontId="8" fillId="0" borderId="5" xfId="0" applyNumberFormat="1" applyFont="1" applyBorder="1" applyAlignment="1">
      <alignment horizontal="center" vertical="center" wrapText="1"/>
    </xf>
    <xf numFmtId="0" fontId="8" fillId="0" borderId="4" xfId="0" applyNumberFormat="1" applyFont="1" applyBorder="1" applyAlignment="1">
      <alignment horizontal="center" vertical="center" wrapText="1"/>
    </xf>
    <xf numFmtId="49" fontId="0" fillId="0" borderId="4" xfId="0" applyNumberFormat="1" applyFont="1" applyBorder="1">
      <alignment vertical="top"/>
    </xf>
    <xf numFmtId="0" fontId="30" fillId="9" borderId="0" xfId="0" applyNumberFormat="1" applyFont="1" applyFill="1" applyAlignment="1">
      <alignment horizontal="center" vertical="center" wrapText="1"/>
    </xf>
    <xf numFmtId="0" fontId="8" fillId="9" borderId="4" xfId="0" applyNumberFormat="1" applyFont="1" applyFill="1" applyBorder="1" applyAlignment="1">
      <alignment horizontal="center" vertical="center" wrapText="1"/>
    </xf>
    <xf numFmtId="0" fontId="0" fillId="0" borderId="12" xfId="0" applyNumberFormat="1" applyFont="1" applyBorder="1" applyAlignment="1">
      <alignment horizontal="center" vertical="center" wrapText="1"/>
    </xf>
    <xf numFmtId="0" fontId="0" fillId="0" borderId="22" xfId="0" applyNumberFormat="1" applyFont="1" applyBorder="1" applyAlignment="1">
      <alignment horizontal="center" vertical="center" wrapText="1"/>
    </xf>
    <xf numFmtId="0" fontId="0" fillId="0" borderId="9" xfId="0" applyNumberFormat="1" applyFont="1" applyBorder="1" applyAlignment="1">
      <alignment horizontal="center" vertical="center" wrapText="1"/>
    </xf>
    <xf numFmtId="0" fontId="0" fillId="0" borderId="15" xfId="0" applyNumberFormat="1" applyFont="1" applyBorder="1" applyAlignment="1">
      <alignment horizontal="center" vertical="center" wrapText="1"/>
    </xf>
    <xf numFmtId="0" fontId="0" fillId="0" borderId="9" xfId="0" applyNumberFormat="1" applyFont="1" applyBorder="1" applyAlignment="1">
      <alignment horizontal="center" vertical="center" wrapText="1"/>
    </xf>
    <xf numFmtId="0" fontId="0" fillId="0" borderId="15" xfId="0" applyNumberFormat="1" applyFont="1" applyBorder="1" applyAlignment="1">
      <alignment horizontal="center" vertical="center" wrapText="1"/>
    </xf>
    <xf numFmtId="49" fontId="29" fillId="9" borderId="7" xfId="0" applyNumberFormat="1" applyFont="1" applyFill="1" applyBorder="1" applyAlignment="1">
      <alignment horizontal="center" vertical="center" wrapText="1"/>
    </xf>
    <xf numFmtId="0" fontId="8" fillId="0" borderId="0" xfId="0" applyNumberFormat="1" applyFont="1" applyAlignment="1">
      <alignment horizontal="left" vertical="center" wrapText="1" indent="1"/>
    </xf>
    <xf numFmtId="0" fontId="71" fillId="0" borderId="9" xfId="0" applyNumberFormat="1" applyFont="1" applyBorder="1" applyAlignment="1">
      <alignment horizontal="center" vertical="center" wrapText="1"/>
    </xf>
    <xf numFmtId="49" fontId="39" fillId="0" borderId="0" xfId="0" applyNumberFormat="1" applyFont="1">
      <alignment vertical="top"/>
    </xf>
    <xf numFmtId="0" fontId="84" fillId="0" borderId="0" xfId="0" applyNumberFormat="1" applyFont="1" applyAlignment="1">
      <alignment vertical="center" wrapText="1"/>
    </xf>
    <xf numFmtId="0" fontId="0" fillId="0" borderId="0" xfId="0" applyNumberFormat="1" applyFont="1">
      <alignment vertical="top"/>
    </xf>
    <xf numFmtId="49" fontId="0" fillId="0" borderId="4" xfId="0" applyNumberFormat="1" applyFont="1" applyBorder="1">
      <alignment vertical="top"/>
    </xf>
    <xf numFmtId="49" fontId="8" fillId="0" borderId="0" xfId="0" applyNumberFormat="1" applyFont="1">
      <alignment vertical="top"/>
    </xf>
    <xf numFmtId="0" fontId="8" fillId="0" borderId="4" xfId="0" applyNumberFormat="1" applyFont="1" applyBorder="1" applyAlignment="1">
      <alignment horizontal="left" vertical="top" wrapText="1"/>
    </xf>
    <xf numFmtId="49" fontId="81" fillId="7" borderId="4" xfId="0" applyNumberFormat="1" applyFont="1" applyFill="1" applyBorder="1" applyAlignment="1">
      <alignment horizontal="center" vertical="top" wrapText="1"/>
    </xf>
    <xf numFmtId="49" fontId="85" fillId="0" borderId="4" xfId="0" applyNumberFormat="1" applyFont="1" applyBorder="1" applyAlignment="1">
      <alignment horizontal="left" vertical="top" wrapText="1"/>
    </xf>
    <xf numFmtId="0" fontId="85" fillId="0" borderId="4" xfId="0" applyNumberFormat="1" applyFont="1" applyBorder="1" applyAlignment="1">
      <alignment horizontal="left" vertical="top" wrapText="1"/>
    </xf>
    <xf numFmtId="0" fontId="85" fillId="7" borderId="4" xfId="0" applyNumberFormat="1" applyFont="1" applyFill="1" applyBorder="1" applyAlignment="1">
      <alignment horizontal="right" vertical="center" wrapText="1"/>
    </xf>
    <xf numFmtId="49" fontId="85" fillId="0" borderId="4" xfId="0" applyNumberFormat="1" applyFont="1" applyBorder="1" applyAlignment="1">
      <alignment vertical="top" wrapText="1"/>
    </xf>
    <xf numFmtId="0" fontId="85" fillId="0" borderId="9" xfId="0" applyNumberFormat="1" applyFont="1" applyBorder="1" applyAlignment="1">
      <alignment horizontal="left" vertical="top" wrapText="1"/>
    </xf>
    <xf numFmtId="0" fontId="85" fillId="0" borderId="5" xfId="0" applyNumberFormat="1" applyFont="1" applyBorder="1" applyAlignment="1">
      <alignment horizontal="left" vertical="top" wrapText="1"/>
    </xf>
    <xf numFmtId="0" fontId="85" fillId="0" borderId="4" xfId="0" applyNumberFormat="1" applyFont="1" applyBorder="1" applyAlignment="1">
      <alignment vertical="top" wrapText="1"/>
    </xf>
    <xf numFmtId="0" fontId="81" fillId="7" borderId="4" xfId="0" applyNumberFormat="1" applyFont="1" applyFill="1" applyBorder="1" applyAlignment="1">
      <alignment horizontal="center" vertical="top" wrapText="1"/>
    </xf>
    <xf numFmtId="0" fontId="80" fillId="0" borderId="0" xfId="33" applyFont="1" applyAlignment="1">
      <alignment vertical="center" wrapText="1"/>
    </xf>
    <xf numFmtId="0" fontId="7" fillId="0" borderId="0" xfId="0" applyNumberFormat="1" applyFont="1" applyAlignment="1">
      <alignment horizontal="left" vertical="center" wrapText="1" indent="3"/>
    </xf>
    <xf numFmtId="3" fontId="0" fillId="0" borderId="5" xfId="0" applyNumberFormat="1" applyFont="1" applyBorder="1" applyAlignment="1">
      <alignment horizontal="right" vertical="center" wrapText="1"/>
    </xf>
    <xf numFmtId="0" fontId="8" fillId="15" borderId="6" xfId="0" applyNumberFormat="1" applyFont="1" applyFill="1" applyBorder="1" applyAlignment="1">
      <alignment horizontal="left" vertical="center" wrapText="1"/>
    </xf>
    <xf numFmtId="49" fontId="29" fillId="9" borderId="4" xfId="0" applyNumberFormat="1" applyFont="1" applyFill="1" applyBorder="1" applyAlignment="1">
      <alignment horizontal="center" vertical="center" wrapText="1"/>
    </xf>
    <xf numFmtId="49" fontId="60" fillId="13" borderId="5" xfId="0" applyNumberFormat="1" applyFont="1" applyFill="1" applyBorder="1" applyAlignment="1">
      <alignment vertical="center"/>
    </xf>
    <xf numFmtId="49" fontId="8" fillId="9" borderId="0" xfId="0" applyNumberFormat="1" applyFont="1" applyFill="1" applyAlignment="1">
      <alignment horizontal="center" vertical="center" wrapText="1"/>
    </xf>
    <xf numFmtId="0" fontId="8" fillId="9" borderId="0" xfId="0" applyNumberFormat="1" applyFont="1" applyFill="1" applyAlignment="1">
      <alignment horizontal="center" vertical="top" wrapText="1"/>
    </xf>
    <xf numFmtId="49" fontId="0" fillId="14" borderId="4" xfId="0" applyNumberFormat="1" applyFont="1" applyFill="1" applyBorder="1" applyAlignment="1" applyProtection="1">
      <alignment horizontal="left" vertical="center" wrapText="1" indent="1"/>
      <protection locked="0"/>
    </xf>
    <xf numFmtId="49" fontId="8" fillId="14" borderId="6" xfId="0" applyNumberFormat="1" applyFont="1" applyFill="1" applyBorder="1" applyAlignment="1" applyProtection="1">
      <alignment horizontal="left" vertical="center" wrapText="1"/>
      <protection locked="0"/>
    </xf>
    <xf numFmtId="14" fontId="8" fillId="15" borderId="15" xfId="0" applyNumberFormat="1" applyFont="1" applyFill="1" applyBorder="1" applyAlignment="1">
      <alignment horizontal="left" vertical="center" wrapText="1"/>
    </xf>
    <xf numFmtId="0" fontId="40" fillId="9" borderId="15" xfId="0" applyNumberFormat="1" applyFont="1" applyFill="1" applyBorder="1" applyAlignment="1">
      <alignment horizontal="center" vertical="center" wrapText="1"/>
    </xf>
    <xf numFmtId="0" fontId="30" fillId="9" borderId="16" xfId="0" applyNumberFormat="1" applyFont="1" applyFill="1" applyBorder="1" applyAlignment="1">
      <alignment vertical="top" wrapText="1"/>
    </xf>
    <xf numFmtId="0" fontId="30" fillId="9" borderId="0" xfId="0" applyNumberFormat="1" applyFont="1" applyFill="1" applyAlignment="1">
      <alignment vertical="top" wrapText="1"/>
    </xf>
    <xf numFmtId="0" fontId="33" fillId="13" borderId="7" xfId="0" applyNumberFormat="1" applyFont="1" applyFill="1" applyBorder="1" applyAlignment="1">
      <alignment vertical="center"/>
    </xf>
    <xf numFmtId="0" fontId="41" fillId="0" borderId="0" xfId="0" applyNumberFormat="1" applyFont="1" applyAlignment="1">
      <alignment vertical="center"/>
    </xf>
    <xf numFmtId="0" fontId="40" fillId="0" borderId="0" xfId="33" applyFont="1" applyAlignment="1">
      <alignment vertical="center" wrapText="1"/>
    </xf>
    <xf numFmtId="49" fontId="39" fillId="0" borderId="0" xfId="0" applyNumberFormat="1" applyFont="1">
      <alignment vertical="top"/>
    </xf>
    <xf numFmtId="0" fontId="78" fillId="0" borderId="0" xfId="33" applyFont="1" applyAlignment="1">
      <alignment vertical="center" wrapText="1"/>
    </xf>
    <xf numFmtId="0" fontId="86" fillId="0" borderId="0" xfId="33" applyFont="1" applyAlignment="1">
      <alignment vertical="center" wrapText="1"/>
    </xf>
    <xf numFmtId="0" fontId="39" fillId="0" borderId="0" xfId="33" applyFont="1" applyAlignment="1">
      <alignment vertical="center" wrapText="1"/>
    </xf>
    <xf numFmtId="0" fontId="78" fillId="0" borderId="0" xfId="33" applyFont="1" applyAlignment="1">
      <alignment horizontal="center" vertical="center" wrapText="1"/>
    </xf>
    <xf numFmtId="0" fontId="39" fillId="0" borderId="0" xfId="33" applyFont="1" applyAlignment="1">
      <alignment vertical="center" wrapText="1"/>
    </xf>
    <xf numFmtId="14" fontId="8" fillId="9" borderId="0" xfId="33" applyNumberFormat="1" applyFont="1" applyFill="1" applyAlignment="1">
      <alignment horizontal="left" vertical="center" wrapText="1"/>
    </xf>
    <xf numFmtId="49" fontId="0" fillId="0" borderId="4" xfId="0" applyNumberFormat="1" applyFont="1" applyBorder="1" applyAlignment="1">
      <alignment horizontal="left" vertical="center" wrapText="1"/>
    </xf>
    <xf numFmtId="49" fontId="0" fillId="6" borderId="4" xfId="0" applyNumberFormat="1" applyFont="1" applyFill="1" applyBorder="1" applyAlignment="1">
      <alignment horizontal="left" vertical="center" wrapText="1"/>
    </xf>
    <xf numFmtId="49" fontId="8" fillId="0" borderId="0" xfId="0" applyNumberFormat="1" applyFont="1" applyAlignment="1">
      <alignment vertical="center" wrapText="1"/>
    </xf>
    <xf numFmtId="0" fontId="0" fillId="0" borderId="4" xfId="0" applyNumberFormat="1" applyFont="1" applyBorder="1" applyAlignment="1">
      <alignment horizontal="left" vertical="center" wrapText="1" indent="1"/>
    </xf>
    <xf numFmtId="49" fontId="0" fillId="9" borderId="4" xfId="0" applyNumberFormat="1" applyFont="1" applyFill="1" applyBorder="1" applyAlignment="1">
      <alignment horizontal="center" vertical="center" wrapText="1"/>
    </xf>
    <xf numFmtId="0" fontId="0" fillId="9" borderId="4" xfId="0" applyNumberFormat="1" applyFont="1" applyFill="1" applyBorder="1" applyAlignment="1">
      <alignment horizontal="center" vertical="center" wrapText="1"/>
    </xf>
    <xf numFmtId="0" fontId="8" fillId="0" borderId="7" xfId="0" applyNumberFormat="1" applyFont="1" applyBorder="1" applyAlignment="1">
      <alignment horizontal="right" vertical="center" wrapText="1" indent="1"/>
    </xf>
    <xf numFmtId="0" fontId="8" fillId="0" borderId="5" xfId="0" applyNumberFormat="1" applyFont="1" applyBorder="1" applyAlignment="1">
      <alignment horizontal="right" vertical="center" wrapText="1" indent="1"/>
    </xf>
    <xf numFmtId="0" fontId="87" fillId="9" borderId="0" xfId="0" applyNumberFormat="1" applyFont="1" applyFill="1" applyAlignment="1">
      <alignment horizontal="right" vertical="center"/>
    </xf>
    <xf numFmtId="0" fontId="8" fillId="14" borderId="4" xfId="0" applyNumberFormat="1" applyFont="1" applyFill="1" applyBorder="1" applyAlignment="1" applyProtection="1">
      <alignment horizontal="center" vertical="center" wrapText="1"/>
      <protection locked="0"/>
    </xf>
    <xf numFmtId="49" fontId="85" fillId="0" borderId="5" xfId="0" applyNumberFormat="1" applyFont="1" applyBorder="1" applyAlignment="1">
      <alignment horizontal="left" vertical="top" wrapText="1"/>
    </xf>
    <xf numFmtId="49" fontId="85" fillId="0" borderId="6" xfId="0" applyNumberFormat="1" applyFont="1" applyBorder="1" applyAlignment="1">
      <alignment horizontal="left" vertical="top" wrapText="1"/>
    </xf>
    <xf numFmtId="0" fontId="85" fillId="0" borderId="9" xfId="0" applyNumberFormat="1" applyFont="1" applyBorder="1" applyAlignment="1">
      <alignment vertical="top" wrapText="1"/>
    </xf>
    <xf numFmtId="0" fontId="85" fillId="0" borderId="28" xfId="0" applyNumberFormat="1" applyFont="1" applyBorder="1" applyAlignment="1">
      <alignment horizontal="left" vertical="top" wrapText="1"/>
    </xf>
    <xf numFmtId="49" fontId="85" fillId="0" borderId="19" xfId="0" applyNumberFormat="1" applyFont="1" applyBorder="1" applyAlignment="1">
      <alignment horizontal="left" vertical="top" wrapText="1"/>
    </xf>
    <xf numFmtId="49" fontId="39" fillId="0" borderId="0" xfId="0" applyNumberFormat="1" applyFont="1" applyAlignment="1">
      <alignment horizontal="center" vertical="center" wrapText="1"/>
    </xf>
    <xf numFmtId="49" fontId="40" fillId="0" borderId="0" xfId="0" applyNumberFormat="1" applyFont="1" applyAlignment="1">
      <alignment horizontal="center" vertical="center" wrapText="1"/>
    </xf>
    <xf numFmtId="49" fontId="0" fillId="0" borderId="0" xfId="0" applyNumberFormat="1" applyFont="1">
      <alignment vertical="top"/>
    </xf>
    <xf numFmtId="0" fontId="8" fillId="0" borderId="4" xfId="0" applyNumberFormat="1" applyFont="1" applyBorder="1" applyAlignment="1">
      <alignment horizontal="left" vertical="center" wrapText="1"/>
    </xf>
    <xf numFmtId="49" fontId="85" fillId="0" borderId="4" xfId="0" applyNumberFormat="1" applyFont="1" applyBorder="1" applyAlignment="1">
      <alignment horizontal="center" vertical="top" wrapText="1"/>
    </xf>
    <xf numFmtId="0" fontId="85" fillId="7" borderId="4" xfId="0" applyNumberFormat="1" applyFont="1" applyFill="1" applyBorder="1" applyAlignment="1">
      <alignment horizontal="center" vertical="center" wrapText="1"/>
    </xf>
    <xf numFmtId="49" fontId="85" fillId="0" borderId="29" xfId="0" applyNumberFormat="1" applyFont="1" applyBorder="1" applyAlignment="1">
      <alignment horizontal="center" vertical="top" wrapText="1"/>
    </xf>
    <xf numFmtId="49" fontId="85" fillId="0" borderId="9" xfId="0" applyNumberFormat="1" applyFont="1" applyBorder="1" applyAlignment="1">
      <alignment horizontal="center" vertical="top" wrapText="1"/>
    </xf>
    <xf numFmtId="0" fontId="40" fillId="0" borderId="0" xfId="0" applyNumberFormat="1" applyFont="1" applyAlignment="1">
      <alignment horizontal="center" vertical="center" wrapText="1"/>
    </xf>
    <xf numFmtId="0" fontId="39" fillId="0" borderId="0" xfId="0" applyNumberFormat="1" applyFont="1" applyAlignment="1">
      <alignment horizontal="center" vertical="top"/>
    </xf>
    <xf numFmtId="49" fontId="33" fillId="13" borderId="6" xfId="0" applyNumberFormat="1" applyFont="1" applyFill="1" applyBorder="1" applyAlignment="1">
      <alignment horizontal="left" vertical="center" indent="1"/>
    </xf>
    <xf numFmtId="0" fontId="0" fillId="9" borderId="9" xfId="33" applyFont="1" applyFill="1" applyBorder="1" applyAlignment="1">
      <alignment horizontal="center" vertical="center" wrapText="1"/>
    </xf>
    <xf numFmtId="0" fontId="8" fillId="9" borderId="9" xfId="33" applyFont="1" applyFill="1" applyBorder="1" applyAlignment="1">
      <alignment horizontal="center" vertical="center" wrapText="1"/>
    </xf>
    <xf numFmtId="49" fontId="88" fillId="0" borderId="0" xfId="0" applyNumberFormat="1" applyFont="1" applyAlignment="1">
      <alignment horizontal="center" vertical="center" wrapText="1"/>
    </xf>
    <xf numFmtId="0" fontId="8" fillId="0" borderId="0" xfId="0" applyNumberFormat="1" applyFont="1" applyAlignment="1">
      <alignment vertical="center" wrapText="1"/>
    </xf>
    <xf numFmtId="49" fontId="8" fillId="0" borderId="0" xfId="0" applyNumberFormat="1" applyFont="1">
      <alignment vertical="top"/>
    </xf>
    <xf numFmtId="0" fontId="8" fillId="9" borderId="0" xfId="0" applyNumberFormat="1" applyFont="1" applyFill="1" applyAlignment="1">
      <alignment vertical="center" wrapText="1"/>
    </xf>
    <xf numFmtId="0" fontId="8" fillId="0" borderId="30" xfId="0" applyNumberFormat="1" applyFont="1" applyBorder="1" applyAlignment="1">
      <alignment vertical="center" wrapText="1"/>
    </xf>
    <xf numFmtId="0" fontId="39" fillId="0" borderId="0" xfId="0" applyNumberFormat="1" applyFont="1" applyAlignment="1">
      <alignment vertical="center" wrapText="1"/>
    </xf>
    <xf numFmtId="49" fontId="8" fillId="0" borderId="0" xfId="0" applyNumberFormat="1" applyFont="1">
      <alignment vertical="top"/>
    </xf>
    <xf numFmtId="0" fontId="8" fillId="9" borderId="0" xfId="0" applyNumberFormat="1" applyFont="1" applyFill="1" applyAlignment="1">
      <alignment vertical="center" wrapText="1"/>
    </xf>
    <xf numFmtId="49" fontId="8" fillId="0" borderId="0" xfId="0" applyNumberFormat="1" applyFont="1">
      <alignment vertical="top"/>
    </xf>
    <xf numFmtId="0" fontId="8" fillId="0" borderId="0" xfId="0" applyNumberFormat="1" applyFont="1" applyAlignment="1">
      <alignment vertical="center"/>
    </xf>
    <xf numFmtId="0" fontId="0" fillId="9" borderId="9" xfId="0" applyNumberFormat="1" applyFont="1" applyFill="1" applyBorder="1" applyAlignment="1">
      <alignment horizontal="center" vertical="center" wrapText="1"/>
    </xf>
    <xf numFmtId="0" fontId="0" fillId="9" borderId="29" xfId="0" applyNumberFormat="1" applyFont="1" applyFill="1" applyBorder="1" applyAlignment="1">
      <alignment horizontal="center" vertical="center" wrapText="1"/>
    </xf>
    <xf numFmtId="0" fontId="8" fillId="13" borderId="22" xfId="0" applyNumberFormat="1" applyFont="1" applyFill="1" applyBorder="1" applyAlignment="1">
      <alignment vertical="center" wrapText="1"/>
    </xf>
    <xf numFmtId="0" fontId="8" fillId="0" borderId="0" xfId="0" applyNumberFormat="1" applyFont="1" applyAlignment="1">
      <alignment vertical="center" wrapText="1"/>
    </xf>
    <xf numFmtId="0" fontId="8" fillId="9" borderId="31" xfId="0" applyNumberFormat="1" applyFont="1" applyFill="1" applyBorder="1" applyAlignment="1">
      <alignment vertical="center" wrapText="1"/>
    </xf>
    <xf numFmtId="0" fontId="19" fillId="9" borderId="31" xfId="0" applyNumberFormat="1" applyFont="1" applyFill="1" applyBorder="1" applyAlignment="1">
      <alignment horizontal="center" wrapText="1"/>
    </xf>
    <xf numFmtId="49" fontId="60" fillId="0" borderId="31" xfId="0" applyNumberFormat="1" applyFont="1" applyBorder="1">
      <alignment vertical="top"/>
    </xf>
    <xf numFmtId="49" fontId="89" fillId="0" borderId="0" xfId="0" applyNumberFormat="1" applyFont="1" applyAlignment="1">
      <alignment vertical="center"/>
    </xf>
    <xf numFmtId="49" fontId="38" fillId="0" borderId="0" xfId="0" applyNumberFormat="1" applyFont="1" applyAlignment="1">
      <alignment vertical="center"/>
    </xf>
    <xf numFmtId="49" fontId="38" fillId="0" borderId="0" xfId="0" applyNumberFormat="1" applyFont="1" applyAlignment="1">
      <alignment vertical="center"/>
    </xf>
    <xf numFmtId="49" fontId="89" fillId="0" borderId="0" xfId="0" applyNumberFormat="1" applyFont="1" applyAlignment="1">
      <alignment vertical="center" wrapText="1"/>
    </xf>
    <xf numFmtId="49" fontId="38" fillId="0" borderId="0" xfId="0" applyNumberFormat="1" applyFont="1" applyAlignment="1">
      <alignment vertical="center" wrapText="1"/>
    </xf>
    <xf numFmtId="49" fontId="38" fillId="0" borderId="0" xfId="0" applyNumberFormat="1" applyFont="1">
      <alignment vertical="top"/>
    </xf>
    <xf numFmtId="49" fontId="38" fillId="0" borderId="0" xfId="0" applyNumberFormat="1" applyFont="1" applyAlignment="1">
      <alignment vertical="center" wrapText="1"/>
    </xf>
    <xf numFmtId="49" fontId="89" fillId="0" borderId="0" xfId="0" applyNumberFormat="1" applyFont="1" applyAlignment="1">
      <alignment horizontal="center" vertical="center" wrapText="1"/>
    </xf>
    <xf numFmtId="49" fontId="38" fillId="0" borderId="0" xfId="0" applyNumberFormat="1" applyFont="1" applyAlignment="1">
      <alignment horizontal="center" vertical="center" wrapText="1"/>
    </xf>
    <xf numFmtId="49" fontId="89" fillId="0" borderId="0" xfId="0" applyNumberFormat="1" applyFont="1" applyAlignment="1">
      <alignment horizontal="center" vertical="center" wrapText="1"/>
    </xf>
    <xf numFmtId="0" fontId="38" fillId="0" borderId="0" xfId="0" applyNumberFormat="1" applyFont="1" applyAlignment="1">
      <alignment horizontal="center" vertical="center" wrapText="1"/>
    </xf>
    <xf numFmtId="49" fontId="38" fillId="9" borderId="0" xfId="0" applyNumberFormat="1" applyFont="1" applyFill="1" applyAlignment="1">
      <alignment vertical="center" wrapText="1"/>
    </xf>
    <xf numFmtId="49" fontId="38" fillId="0" borderId="0" xfId="0" applyNumberFormat="1" applyFont="1">
      <alignment vertical="top"/>
    </xf>
    <xf numFmtId="49" fontId="38" fillId="9" borderId="0" xfId="0" applyNumberFormat="1" applyFont="1" applyFill="1" applyAlignment="1">
      <alignment vertical="center"/>
    </xf>
    <xf numFmtId="49" fontId="89" fillId="0" borderId="0" xfId="0" applyNumberFormat="1" applyFont="1" applyAlignment="1">
      <alignment vertical="center"/>
    </xf>
    <xf numFmtId="49" fontId="38" fillId="0" borderId="0" xfId="0" applyNumberFormat="1" applyFont="1">
      <alignment vertical="top"/>
    </xf>
    <xf numFmtId="4" fontId="38" fillId="9" borderId="0" xfId="0" applyNumberFormat="1" applyFont="1" applyFill="1" applyAlignment="1">
      <alignment vertical="center"/>
    </xf>
    <xf numFmtId="3" fontId="38" fillId="6" borderId="4" xfId="0" applyNumberFormat="1" applyFont="1" applyFill="1" applyBorder="1" applyAlignment="1" applyProtection="1">
      <alignment horizontal="right" vertical="center"/>
      <protection locked="0"/>
    </xf>
    <xf numFmtId="49" fontId="25" fillId="0" borderId="0" xfId="0" applyNumberFormat="1" applyFont="1" applyAlignment="1">
      <alignment horizontal="center" vertical="center" wrapText="1"/>
    </xf>
    <xf numFmtId="49" fontId="8" fillId="9" borderId="0" xfId="0" applyNumberFormat="1" applyFont="1" applyFill="1" applyAlignment="1">
      <alignment horizontal="center" vertical="center" wrapText="1"/>
    </xf>
    <xf numFmtId="0" fontId="8" fillId="0" borderId="6" xfId="0" applyNumberFormat="1" applyFont="1" applyBorder="1" applyAlignment="1">
      <alignment horizontal="center" vertical="center" wrapText="1"/>
    </xf>
    <xf numFmtId="0" fontId="8" fillId="0" borderId="9" xfId="0" applyNumberFormat="1" applyFont="1" applyBorder="1" applyAlignment="1">
      <alignment horizontal="center" vertical="center" wrapText="1"/>
    </xf>
    <xf numFmtId="0" fontId="8" fillId="0" borderId="4" xfId="0" applyNumberFormat="1" applyFont="1" applyBorder="1" applyAlignment="1">
      <alignment horizontal="center" vertical="center" wrapText="1"/>
    </xf>
    <xf numFmtId="49" fontId="39" fillId="0" borderId="0" xfId="0" applyNumberFormat="1" applyFont="1" applyAlignment="1">
      <alignment horizontal="center" vertical="center" wrapText="1"/>
    </xf>
    <xf numFmtId="49" fontId="40" fillId="0" borderId="0" xfId="0" applyNumberFormat="1" applyFont="1" applyAlignment="1">
      <alignment horizontal="center" vertical="center" wrapText="1"/>
    </xf>
    <xf numFmtId="49" fontId="8" fillId="0" borderId="4" xfId="0" applyNumberFormat="1" applyFont="1" applyBorder="1" applyAlignment="1">
      <alignment horizontal="center" vertical="center" wrapText="1"/>
    </xf>
    <xf numFmtId="0" fontId="8" fillId="0" borderId="4" xfId="0" applyNumberFormat="1" applyFont="1" applyBorder="1" applyAlignment="1">
      <alignment horizontal="left" vertical="center" wrapText="1" indent="1"/>
    </xf>
    <xf numFmtId="49" fontId="8" fillId="14" borderId="4" xfId="0" applyNumberFormat="1" applyFont="1" applyFill="1" applyBorder="1" applyAlignment="1" applyProtection="1">
      <alignment horizontal="left" vertical="center" wrapText="1"/>
      <protection locked="0"/>
    </xf>
    <xf numFmtId="0" fontId="30" fillId="0" borderId="0" xfId="0" applyNumberFormat="1" applyFont="1" applyAlignment="1">
      <alignment horizontal="center" vertical="center" wrapText="1"/>
    </xf>
    <xf numFmtId="49" fontId="81" fillId="0" borderId="4" xfId="0" applyNumberFormat="1" applyFont="1" applyBorder="1" applyAlignment="1">
      <alignment horizontal="center" vertical="center" wrapText="1"/>
    </xf>
    <xf numFmtId="0" fontId="81" fillId="0" borderId="4" xfId="0" applyNumberFormat="1" applyFont="1" applyBorder="1" applyAlignment="1">
      <alignment horizontal="center" vertical="center" wrapText="1"/>
    </xf>
    <xf numFmtId="49" fontId="81" fillId="0" borderId="9" xfId="0" applyNumberFormat="1" applyFont="1" applyBorder="1" applyAlignment="1">
      <alignment horizontal="center" vertical="center" wrapText="1"/>
    </xf>
    <xf numFmtId="49" fontId="81" fillId="0" borderId="15" xfId="0" applyNumberFormat="1" applyFont="1" applyBorder="1" applyAlignment="1">
      <alignment horizontal="center" vertical="center" wrapText="1"/>
    </xf>
    <xf numFmtId="0" fontId="81" fillId="0" borderId="9" xfId="0" applyNumberFormat="1" applyFont="1" applyBorder="1" applyAlignment="1">
      <alignment horizontal="center" vertical="center" wrapText="1"/>
    </xf>
    <xf numFmtId="49" fontId="85" fillId="0" borderId="14" xfId="0" applyNumberFormat="1" applyFont="1" applyBorder="1" applyAlignment="1">
      <alignment horizontal="center" vertical="top" wrapText="1"/>
    </xf>
    <xf numFmtId="49" fontId="85" fillId="0" borderId="28" xfId="0" applyNumberFormat="1" applyFont="1" applyBorder="1" applyAlignment="1">
      <alignment horizontal="left" vertical="top" wrapText="1"/>
    </xf>
    <xf numFmtId="0" fontId="81" fillId="0" borderId="4" xfId="0" applyNumberFormat="1" applyFont="1" applyBorder="1" applyAlignment="1">
      <alignment vertical="center" wrapText="1"/>
    </xf>
    <xf numFmtId="0" fontId="81" fillId="0" borderId="9" xfId="0" applyNumberFormat="1" applyFont="1" applyBorder="1" applyAlignment="1">
      <alignment vertical="center" wrapText="1"/>
    </xf>
    <xf numFmtId="0" fontId="81" fillId="0" borderId="15" xfId="0" applyNumberFormat="1" applyFont="1" applyBorder="1" applyAlignment="1">
      <alignment vertical="center" wrapText="1"/>
    </xf>
    <xf numFmtId="49" fontId="81" fillId="0" borderId="4" xfId="0" applyNumberFormat="1" applyFont="1" applyBorder="1" applyAlignment="1">
      <alignment horizontal="left" vertical="top" wrapText="1"/>
    </xf>
    <xf numFmtId="167" fontId="8" fillId="14" borderId="9" xfId="0" applyNumberFormat="1" applyFont="1" applyFill="1" applyBorder="1" applyAlignment="1" applyProtection="1">
      <alignment horizontal="right" vertical="center" wrapText="1"/>
      <protection locked="0"/>
    </xf>
    <xf numFmtId="0" fontId="8" fillId="0" borderId="5" xfId="0" applyNumberFormat="1" applyFont="1" applyBorder="1" applyAlignment="1">
      <alignment horizontal="center" vertical="center" wrapText="1"/>
    </xf>
    <xf numFmtId="0" fontId="8" fillId="0" borderId="12" xfId="0" applyNumberFormat="1" applyFont="1" applyBorder="1" applyAlignment="1">
      <alignment horizontal="center" vertical="center" wrapText="1"/>
    </xf>
    <xf numFmtId="49" fontId="8" fillId="13" borderId="29" xfId="0" applyNumberFormat="1" applyFont="1" applyFill="1" applyBorder="1" applyAlignment="1">
      <alignment vertical="center" wrapText="1"/>
    </xf>
    <xf numFmtId="49" fontId="33" fillId="13" borderId="11" xfId="0" applyNumberFormat="1" applyFont="1" applyFill="1" applyBorder="1" applyAlignment="1">
      <alignment horizontal="left" vertical="center" indent="1"/>
    </xf>
    <xf numFmtId="49" fontId="8" fillId="13" borderId="29" xfId="0" applyNumberFormat="1" applyFont="1" applyFill="1" applyBorder="1" applyAlignment="1">
      <alignment vertical="center" wrapText="1"/>
    </xf>
    <xf numFmtId="49" fontId="33" fillId="13" borderId="11" xfId="0" applyNumberFormat="1" applyFont="1" applyFill="1" applyBorder="1" applyAlignment="1">
      <alignment horizontal="left" vertical="center" indent="1"/>
    </xf>
    <xf numFmtId="0" fontId="63" fillId="0" borderId="0" xfId="0" applyNumberFormat="1" applyFont="1" applyAlignment="1">
      <alignment horizontal="center" vertical="center" wrapText="1"/>
    </xf>
    <xf numFmtId="4" fontId="8" fillId="14" borderId="5" xfId="0" applyNumberFormat="1" applyFont="1" applyFill="1" applyBorder="1" applyAlignment="1" applyProtection="1">
      <alignment horizontal="right" vertical="center" wrapText="1"/>
      <protection locked="0"/>
    </xf>
    <xf numFmtId="167" fontId="8" fillId="14" borderId="5" xfId="0" applyNumberFormat="1" applyFont="1" applyFill="1" applyBorder="1" applyAlignment="1" applyProtection="1">
      <alignment horizontal="right" vertical="center" wrapText="1"/>
      <protection locked="0"/>
    </xf>
    <xf numFmtId="167" fontId="8" fillId="11" borderId="5" xfId="0" applyNumberFormat="1" applyFont="1" applyFill="1" applyBorder="1" applyAlignment="1">
      <alignment horizontal="right" vertical="center" wrapText="1"/>
    </xf>
    <xf numFmtId="4" fontId="8" fillId="14" borderId="22" xfId="0" applyNumberFormat="1" applyFont="1" applyFill="1" applyBorder="1" applyAlignment="1" applyProtection="1">
      <alignment horizontal="right" vertical="center" wrapText="1"/>
      <protection locked="0"/>
    </xf>
    <xf numFmtId="49" fontId="81" fillId="7" borderId="4" xfId="0" applyNumberFormat="1" applyFont="1" applyFill="1" applyBorder="1" applyAlignment="1">
      <alignment horizontal="center" vertical="top"/>
    </xf>
    <xf numFmtId="49" fontId="81" fillId="0" borderId="4" xfId="0" applyNumberFormat="1" applyFont="1" applyBorder="1" applyAlignment="1">
      <alignment horizontal="center" vertical="top" wrapText="1"/>
    </xf>
    <xf numFmtId="49" fontId="81" fillId="0" borderId="4" xfId="0" applyNumberFormat="1" applyFont="1" applyBorder="1" applyAlignment="1">
      <alignment vertical="top" wrapText="1"/>
    </xf>
    <xf numFmtId="0" fontId="81" fillId="0" borderId="4" xfId="0" applyNumberFormat="1" applyFont="1" applyBorder="1" applyAlignment="1">
      <alignment vertical="top" wrapText="1"/>
    </xf>
    <xf numFmtId="49" fontId="81" fillId="0" borderId="4" xfId="0" applyNumberFormat="1" applyFont="1" applyBorder="1">
      <alignment vertical="top"/>
    </xf>
    <xf numFmtId="49" fontId="85" fillId="0" borderId="4" xfId="0" applyNumberFormat="1" applyFont="1" applyBorder="1">
      <alignment vertical="top"/>
    </xf>
    <xf numFmtId="49" fontId="81" fillId="0" borderId="0" xfId="0" applyNumberFormat="1" applyFont="1" applyAlignment="1">
      <alignment horizontal="center" vertical="center" wrapText="1"/>
    </xf>
    <xf numFmtId="49" fontId="81" fillId="0" borderId="0" xfId="0" applyNumberFormat="1" applyFont="1" applyAlignment="1">
      <alignment horizontal="left" vertical="center" wrapText="1"/>
    </xf>
    <xf numFmtId="49" fontId="81" fillId="20" borderId="0" xfId="0" applyNumberFormat="1" applyFont="1" applyFill="1" applyAlignment="1">
      <alignment horizontal="center" vertical="center" wrapText="1"/>
    </xf>
    <xf numFmtId="0" fontId="81" fillId="0" borderId="0" xfId="0" applyNumberFormat="1" applyFont="1" applyAlignment="1">
      <alignment vertical="center" wrapText="1"/>
    </xf>
    <xf numFmtId="0" fontId="40" fillId="0" borderId="4" xfId="0" applyNumberFormat="1" applyFont="1" applyBorder="1" applyAlignment="1">
      <alignment horizontal="left" vertical="center" wrapText="1" indent="3"/>
    </xf>
    <xf numFmtId="49" fontId="40" fillId="0" borderId="4" xfId="0" applyNumberFormat="1" applyFont="1" applyBorder="1" applyAlignment="1">
      <alignment vertical="center" wrapText="1"/>
    </xf>
    <xf numFmtId="0" fontId="40" fillId="0" borderId="9" xfId="0" applyNumberFormat="1" applyFont="1" applyBorder="1" applyAlignment="1">
      <alignment vertical="top" wrapText="1"/>
    </xf>
    <xf numFmtId="0" fontId="40" fillId="0" borderId="28" xfId="0" applyNumberFormat="1" applyFont="1" applyBorder="1" applyAlignment="1">
      <alignment horizontal="left" vertical="center" wrapText="1" indent="1"/>
    </xf>
    <xf numFmtId="0" fontId="40" fillId="0" borderId="28" xfId="0" applyNumberFormat="1" applyFont="1" applyBorder="1" applyAlignment="1">
      <alignment horizontal="center" vertical="center" wrapText="1"/>
    </xf>
    <xf numFmtId="0" fontId="40" fillId="0" borderId="9" xfId="0" applyNumberFormat="1" applyFont="1" applyBorder="1" applyAlignment="1">
      <alignment vertical="center" wrapText="1"/>
    </xf>
    <xf numFmtId="0" fontId="40" fillId="0" borderId="15" xfId="0" applyNumberFormat="1" applyFont="1" applyBorder="1" applyAlignment="1">
      <alignment horizontal="left" vertical="center" wrapText="1" indent="1"/>
    </xf>
    <xf numFmtId="0" fontId="40" fillId="0" borderId="9" xfId="0" applyNumberFormat="1" applyFont="1" applyBorder="1" applyAlignment="1">
      <alignment horizontal="left" vertical="center" wrapText="1" indent="1"/>
    </xf>
    <xf numFmtId="49" fontId="85" fillId="7" borderId="4" xfId="0" applyNumberFormat="1" applyFont="1" applyFill="1" applyBorder="1" applyAlignment="1">
      <alignment horizontal="center" vertical="top" wrapText="1"/>
    </xf>
    <xf numFmtId="49" fontId="85" fillId="7" borderId="4" xfId="0" applyNumberFormat="1" applyFont="1" applyFill="1" applyBorder="1" applyAlignment="1">
      <alignment horizontal="left" vertical="top" wrapText="1"/>
    </xf>
    <xf numFmtId="0" fontId="81" fillId="0" borderId="6" xfId="0" applyNumberFormat="1" applyFont="1" applyBorder="1" applyAlignment="1">
      <alignment horizontal="center" vertical="center" wrapText="1"/>
    </xf>
    <xf numFmtId="0" fontId="8" fillId="0" borderId="15" xfId="0" applyNumberFormat="1" applyFont="1" applyBorder="1" applyAlignment="1">
      <alignment vertical="top" wrapText="1"/>
    </xf>
    <xf numFmtId="0" fontId="8" fillId="0" borderId="15" xfId="0" applyNumberFormat="1" applyFont="1" applyBorder="1" applyAlignment="1">
      <alignment vertical="top" wrapText="1"/>
    </xf>
    <xf numFmtId="0" fontId="81" fillId="0" borderId="6" xfId="0" applyNumberFormat="1" applyFont="1" applyBorder="1" applyAlignment="1">
      <alignment horizontal="center" vertical="center"/>
    </xf>
    <xf numFmtId="49" fontId="40" fillId="9" borderId="4" xfId="34" applyNumberFormat="1" applyFont="1" applyFill="1" applyBorder="1" applyAlignment="1">
      <alignment horizontal="center" vertical="center"/>
    </xf>
    <xf numFmtId="0" fontId="40" fillId="9" borderId="4" xfId="0" applyNumberFormat="1" applyFont="1" applyFill="1" applyBorder="1" applyAlignment="1">
      <alignment horizontal="left" vertical="center" wrapText="1" indent="1"/>
    </xf>
    <xf numFmtId="0" fontId="40" fillId="9" borderId="4" xfId="0" applyNumberFormat="1" applyFont="1" applyFill="1" applyBorder="1" applyAlignment="1">
      <alignment vertical="center" wrapText="1"/>
    </xf>
    <xf numFmtId="49" fontId="40" fillId="0" borderId="4" xfId="34" applyNumberFormat="1" applyFont="1" applyBorder="1" applyAlignment="1">
      <alignment horizontal="center" vertical="center"/>
    </xf>
    <xf numFmtId="0" fontId="40" fillId="0" borderId="4" xfId="0" applyNumberFormat="1" applyFont="1" applyBorder="1" applyAlignment="1">
      <alignment horizontal="left" vertical="center" wrapText="1" indent="1"/>
    </xf>
    <xf numFmtId="0" fontId="40" fillId="0" borderId="4" xfId="0" applyNumberFormat="1" applyFont="1" applyBorder="1" applyAlignment="1">
      <alignment horizontal="left" vertical="center" wrapText="1"/>
    </xf>
    <xf numFmtId="0" fontId="40" fillId="0" borderId="4" xfId="0" applyNumberFormat="1" applyFont="1" applyBorder="1" applyAlignment="1">
      <alignment vertical="center" wrapText="1"/>
    </xf>
    <xf numFmtId="0" fontId="40" fillId="0" borderId="4" xfId="0" applyNumberFormat="1" applyFont="1" applyBorder="1" applyAlignment="1">
      <alignment horizontal="center" vertical="center" wrapText="1"/>
    </xf>
    <xf numFmtId="0" fontId="40" fillId="9" borderId="4" xfId="0" applyNumberFormat="1" applyFont="1" applyFill="1" applyBorder="1" applyAlignment="1">
      <alignment horizontal="left" vertical="center" wrapText="1" indent="2"/>
    </xf>
    <xf numFmtId="49" fontId="40" fillId="0" borderId="4" xfId="0" applyNumberFormat="1" applyFont="1" applyBorder="1" applyAlignment="1">
      <alignment horizontal="left" vertical="center" wrapText="1"/>
    </xf>
    <xf numFmtId="2" fontId="8" fillId="0" borderId="15" xfId="0" applyNumberFormat="1" applyFont="1" applyBorder="1" applyAlignment="1">
      <alignment horizontal="center" vertical="center" wrapText="1"/>
    </xf>
    <xf numFmtId="0" fontId="90" fillId="0" borderId="0" xfId="0" applyNumberFormat="1" applyFont="1" applyAlignment="1">
      <alignment horizontal="center" vertical="center" wrapText="1"/>
    </xf>
    <xf numFmtId="0" fontId="91" fillId="9" borderId="0" xfId="0" applyNumberFormat="1" applyFont="1" applyFill="1" applyAlignment="1">
      <alignment horizontal="right" vertical="center"/>
    </xf>
    <xf numFmtId="0" fontId="8" fillId="0" borderId="15" xfId="0" applyNumberFormat="1" applyFont="1" applyBorder="1" applyAlignment="1">
      <alignment horizontal="left" vertical="center" wrapText="1"/>
    </xf>
    <xf numFmtId="0" fontId="40" fillId="0" borderId="0" xfId="0" applyNumberFormat="1" applyFont="1" applyAlignment="1">
      <alignment horizontal="center" vertical="center" wrapText="1"/>
    </xf>
    <xf numFmtId="0" fontId="8" fillId="0" borderId="4" xfId="0" applyNumberFormat="1" applyFont="1" applyBorder="1" applyAlignment="1">
      <alignment horizontal="left" vertical="center" wrapText="1"/>
    </xf>
    <xf numFmtId="49" fontId="39" fillId="0" borderId="0" xfId="0" applyNumberFormat="1" applyFont="1" applyAlignment="1">
      <alignment horizontal="center" vertical="center" wrapText="1"/>
    </xf>
    <xf numFmtId="0" fontId="40" fillId="0" borderId="20" xfId="0" applyNumberFormat="1" applyFont="1" applyBorder="1" applyAlignment="1">
      <alignment vertical="center" wrapText="1"/>
    </xf>
    <xf numFmtId="49" fontId="13" fillId="0" borderId="6" xfId="0" applyNumberFormat="1" applyFont="1" applyBorder="1" applyAlignment="1">
      <alignment horizontal="left" vertical="center" wrapText="1"/>
    </xf>
    <xf numFmtId="49" fontId="13" fillId="0" borderId="7" xfId="0" applyNumberFormat="1" applyFont="1" applyBorder="1" applyAlignment="1">
      <alignment horizontal="left" vertical="center" wrapText="1"/>
    </xf>
    <xf numFmtId="49" fontId="40" fillId="0" borderId="0" xfId="0" applyNumberFormat="1" applyFont="1" applyAlignment="1">
      <alignment horizontal="center" vertical="center" wrapText="1"/>
    </xf>
    <xf numFmtId="0" fontId="40" fillId="0" borderId="0" xfId="0" applyNumberFormat="1" applyFont="1" applyAlignment="1">
      <alignment horizontal="center" vertical="center" wrapText="1"/>
    </xf>
    <xf numFmtId="4" fontId="8" fillId="0" borderId="9" xfId="0" applyNumberFormat="1" applyFont="1" applyBorder="1" applyAlignment="1">
      <alignment horizontal="center" vertical="center" wrapText="1"/>
    </xf>
    <xf numFmtId="4" fontId="8" fillId="0" borderId="24" xfId="0" applyNumberFormat="1" applyFont="1" applyBorder="1" applyAlignment="1">
      <alignment horizontal="center" vertical="center" wrapText="1"/>
    </xf>
    <xf numFmtId="49" fontId="13" fillId="0" borderId="29" xfId="0" applyNumberFormat="1" applyFont="1" applyBorder="1" applyAlignment="1">
      <alignment horizontal="left" vertical="center" wrapText="1"/>
    </xf>
    <xf numFmtId="49" fontId="13" fillId="0" borderId="19" xfId="0" applyNumberFormat="1" applyFont="1" applyBorder="1" applyAlignment="1">
      <alignment horizontal="left" vertical="center" wrapText="1"/>
    </xf>
    <xf numFmtId="0" fontId="8" fillId="0" borderId="28" xfId="0" applyNumberFormat="1" applyFont="1" applyBorder="1" applyAlignment="1">
      <alignment vertical="center" wrapText="1"/>
    </xf>
    <xf numFmtId="0" fontId="8" fillId="0" borderId="24" xfId="0" applyNumberFormat="1" applyFont="1" applyBorder="1" applyAlignment="1">
      <alignment horizontal="left" vertical="center" wrapText="1"/>
    </xf>
    <xf numFmtId="49" fontId="39" fillId="0" borderId="0" xfId="0" applyNumberFormat="1" applyFont="1" applyAlignment="1">
      <alignment horizontal="center" vertical="center" wrapText="1"/>
    </xf>
    <xf numFmtId="0" fontId="8" fillId="0" borderId="0" xfId="0" applyNumberFormat="1" applyFont="1" applyAlignment="1">
      <alignment vertical="top" wrapText="1"/>
    </xf>
    <xf numFmtId="0" fontId="8" fillId="0" borderId="0" xfId="0" applyNumberFormat="1" applyFont="1">
      <alignment vertical="top"/>
    </xf>
    <xf numFmtId="4" fontId="8" fillId="0" borderId="32" xfId="0" applyNumberFormat="1" applyFont="1" applyBorder="1" applyAlignment="1">
      <alignment horizontal="center" vertical="center" wrapText="1"/>
    </xf>
    <xf numFmtId="0" fontId="40" fillId="0" borderId="0" xfId="0" applyNumberFormat="1" applyFont="1" applyAlignment="1">
      <alignment horizontal="center" vertical="top"/>
    </xf>
    <xf numFmtId="49" fontId="40" fillId="0" borderId="0" xfId="0" applyNumberFormat="1" applyFont="1">
      <alignment vertical="top"/>
    </xf>
    <xf numFmtId="0" fontId="40" fillId="0" borderId="4" xfId="0" applyNumberFormat="1" applyFont="1" applyBorder="1" applyAlignment="1">
      <alignment horizontal="left" vertical="center" wrapText="1"/>
    </xf>
    <xf numFmtId="49" fontId="33" fillId="0" borderId="11" xfId="0" applyNumberFormat="1" applyFont="1" applyBorder="1" applyAlignment="1">
      <alignment horizontal="right" vertical="center"/>
    </xf>
    <xf numFmtId="0" fontId="8" fillId="15" borderId="4" xfId="0" applyNumberFormat="1" applyFont="1" applyFill="1" applyBorder="1" applyAlignment="1">
      <alignment horizontal="left" vertical="center" wrapText="1" indent="1"/>
    </xf>
    <xf numFmtId="0" fontId="8" fillId="0" borderId="4" xfId="0" applyNumberFormat="1" applyFont="1" applyBorder="1" applyAlignment="1">
      <alignment horizontal="center" vertical="center" wrapText="1"/>
    </xf>
    <xf numFmtId="0" fontId="40" fillId="0" borderId="0" xfId="0" applyNumberFormat="1" applyFont="1" applyAlignment="1">
      <alignment horizontal="center" vertical="center" wrapText="1"/>
    </xf>
    <xf numFmtId="49" fontId="39" fillId="0" borderId="0" xfId="0" applyNumberFormat="1" applyFont="1" applyAlignment="1">
      <alignment horizontal="center" vertical="center" wrapText="1"/>
    </xf>
    <xf numFmtId="49" fontId="40" fillId="0" borderId="0" xfId="0" applyNumberFormat="1" applyFont="1" applyAlignment="1">
      <alignment horizontal="center" vertical="center" wrapText="1"/>
    </xf>
    <xf numFmtId="0" fontId="51" fillId="9" borderId="0" xfId="33" applyFont="1" applyFill="1" applyAlignment="1">
      <alignment horizontal="left" vertical="center" wrapText="1" indent="1"/>
    </xf>
    <xf numFmtId="0" fontId="8" fillId="0" borderId="0" xfId="33" applyFont="1" applyAlignment="1">
      <alignment horizontal="left" vertical="center" wrapText="1" indent="1"/>
    </xf>
    <xf numFmtId="49" fontId="8" fillId="0" borderId="0" xfId="0" applyNumberFormat="1" applyFont="1" applyAlignment="1">
      <alignment horizontal="center" vertical="center" wrapText="1"/>
    </xf>
    <xf numFmtId="0" fontId="8" fillId="0" borderId="11" xfId="0" applyNumberFormat="1" applyFont="1" applyBorder="1" applyAlignment="1">
      <alignment vertical="center" wrapText="1"/>
    </xf>
    <xf numFmtId="0" fontId="8" fillId="0" borderId="20" xfId="0" applyNumberFormat="1" applyFont="1" applyBorder="1" applyAlignment="1">
      <alignment vertical="center" wrapText="1"/>
    </xf>
    <xf numFmtId="49" fontId="8" fillId="13" borderId="33" xfId="0" applyNumberFormat="1" applyFont="1" applyFill="1" applyBorder="1" applyAlignment="1">
      <alignment horizontal="center" vertical="center" wrapText="1"/>
    </xf>
    <xf numFmtId="49" fontId="19" fillId="13" borderId="34" xfId="0" applyNumberFormat="1" applyFont="1" applyFill="1" applyBorder="1" applyAlignment="1">
      <alignment horizontal="right" vertical="center" wrapText="1"/>
    </xf>
    <xf numFmtId="49" fontId="19" fillId="13" borderId="35" xfId="0" applyNumberFormat="1" applyFont="1" applyFill="1" applyBorder="1" applyAlignment="1">
      <alignment horizontal="right" vertical="center" wrapText="1"/>
    </xf>
    <xf numFmtId="49" fontId="38" fillId="0" borderId="0" xfId="0" applyNumberFormat="1" applyFont="1">
      <alignment vertical="top"/>
    </xf>
    <xf numFmtId="0" fontId="38" fillId="0" borderId="0" xfId="0" applyNumberFormat="1" applyFont="1" applyAlignment="1">
      <alignment vertical="center" wrapText="1"/>
    </xf>
    <xf numFmtId="49" fontId="84" fillId="0" borderId="0" xfId="0" applyNumberFormat="1" applyFont="1" applyAlignment="1">
      <alignment vertical="center" wrapText="1"/>
    </xf>
    <xf numFmtId="49" fontId="25" fillId="21" borderId="0" xfId="0" applyNumberFormat="1" applyFont="1" applyFill="1" applyAlignment="1">
      <alignment horizontal="center" vertical="center"/>
    </xf>
    <xf numFmtId="0" fontId="0" fillId="22" borderId="0" xfId="0" applyNumberFormat="1" applyFont="1" applyFill="1" applyAlignment="1">
      <alignment horizontal="left" vertical="center"/>
    </xf>
    <xf numFmtId="0" fontId="0" fillId="23" borderId="4" xfId="0" applyNumberFormat="1" applyFont="1" applyFill="1" applyBorder="1" applyAlignment="1">
      <alignment horizontal="center" vertical="center"/>
    </xf>
    <xf numFmtId="49" fontId="0" fillId="0" borderId="0" xfId="0" applyNumberFormat="1" applyFont="1" applyAlignment="1">
      <alignment vertical="center"/>
    </xf>
    <xf numFmtId="49" fontId="39" fillId="21" borderId="4" xfId="0" applyNumberFormat="1" applyFont="1" applyFill="1" applyBorder="1" applyAlignment="1">
      <alignment horizontal="center" vertical="center"/>
    </xf>
    <xf numFmtId="49" fontId="39" fillId="24" borderId="4" xfId="0" applyNumberFormat="1" applyFont="1" applyFill="1" applyBorder="1" applyAlignment="1">
      <alignment horizontal="center" vertical="center"/>
    </xf>
    <xf numFmtId="49" fontId="0" fillId="25" borderId="4" xfId="0" applyNumberFormat="1" applyFont="1" applyFill="1" applyBorder="1" applyAlignment="1">
      <alignment horizontal="center" vertical="center"/>
    </xf>
    <xf numFmtId="49" fontId="8" fillId="0" borderId="0" xfId="0" applyNumberFormat="1" applyFont="1">
      <alignment vertical="top"/>
    </xf>
    <xf numFmtId="0" fontId="8" fillId="0" borderId="4" xfId="0" applyNumberFormat="1" applyFont="1" applyBorder="1" applyAlignment="1">
      <alignment vertical="center"/>
    </xf>
    <xf numFmtId="0" fontId="0" fillId="0" borderId="4" xfId="0" applyNumberFormat="1" applyFont="1" applyBorder="1" applyAlignment="1">
      <alignment vertical="center"/>
    </xf>
    <xf numFmtId="0" fontId="0" fillId="0" borderId="4" xfId="0" applyNumberFormat="1" applyFont="1" applyBorder="1" applyAlignment="1">
      <alignment vertical="center"/>
    </xf>
    <xf numFmtId="0" fontId="0" fillId="0" borderId="6" xfId="0" applyNumberFormat="1" applyFont="1" applyBorder="1" applyAlignment="1">
      <alignment vertical="center"/>
    </xf>
    <xf numFmtId="0" fontId="0" fillId="0" borderId="6" xfId="0" applyNumberFormat="1" applyFont="1" applyBorder="1" applyAlignment="1">
      <alignment vertical="center"/>
    </xf>
    <xf numFmtId="49" fontId="8" fillId="0" borderId="36" xfId="0" applyNumberFormat="1" applyFont="1" applyBorder="1" applyAlignment="1">
      <alignment vertical="center"/>
    </xf>
    <xf numFmtId="49" fontId="8" fillId="0" borderId="37" xfId="0" applyNumberFormat="1" applyFont="1" applyBorder="1">
      <alignment vertical="top"/>
    </xf>
    <xf numFmtId="0" fontId="0" fillId="0" borderId="5" xfId="0" applyNumberFormat="1" applyFont="1" applyBorder="1" applyAlignment="1">
      <alignment vertical="center"/>
    </xf>
    <xf numFmtId="0" fontId="0" fillId="0" borderId="4" xfId="0" applyNumberFormat="1" applyFont="1" applyBorder="1" applyAlignment="1">
      <alignment horizontal="right" vertical="top"/>
    </xf>
    <xf numFmtId="0" fontId="0" fillId="0" borderId="4" xfId="0" applyNumberFormat="1" applyFont="1" applyBorder="1">
      <alignment vertical="top"/>
    </xf>
    <xf numFmtId="0" fontId="8" fillId="0" borderId="5" xfId="0" applyNumberFormat="1" applyFont="1" applyBorder="1" applyAlignment="1">
      <alignment vertical="center"/>
    </xf>
    <xf numFmtId="49" fontId="8" fillId="0" borderId="4" xfId="0" applyNumberFormat="1" applyFont="1" applyBorder="1" applyAlignment="1">
      <alignment vertical="center"/>
    </xf>
    <xf numFmtId="0" fontId="0" fillId="0" borderId="0" xfId="0" applyNumberFormat="1" applyFont="1">
      <alignment vertical="top"/>
    </xf>
    <xf numFmtId="0" fontId="8" fillId="0" borderId="4" xfId="0" applyNumberFormat="1" applyFont="1" applyBorder="1">
      <alignment vertical="top"/>
    </xf>
    <xf numFmtId="49" fontId="8" fillId="0" borderId="4" xfId="0" applyNumberFormat="1" applyFont="1" applyBorder="1">
      <alignment vertical="top"/>
    </xf>
    <xf numFmtId="0" fontId="8" fillId="0" borderId="0" xfId="0" applyNumberFormat="1" applyFont="1" applyAlignment="1">
      <alignment vertical="center"/>
    </xf>
    <xf numFmtId="49" fontId="8" fillId="0" borderId="6" xfId="0" applyNumberFormat="1" applyFont="1" applyBorder="1">
      <alignment vertical="top"/>
    </xf>
    <xf numFmtId="0" fontId="0" fillId="0" borderId="0" xfId="0" applyNumberFormat="1" applyFont="1" applyAlignment="1">
      <alignment vertical="center"/>
    </xf>
    <xf numFmtId="0" fontId="8" fillId="0" borderId="0" xfId="0" applyNumberFormat="1" applyFont="1">
      <alignment vertical="top"/>
    </xf>
    <xf numFmtId="49" fontId="8" fillId="0" borderId="4" xfId="0" applyNumberFormat="1" applyFont="1" applyBorder="1">
      <alignment vertical="top"/>
    </xf>
    <xf numFmtId="49" fontId="0" fillId="0" borderId="6" xfId="0" applyNumberFormat="1" applyFont="1" applyBorder="1">
      <alignment vertical="top"/>
    </xf>
    <xf numFmtId="0" fontId="0" fillId="0" borderId="9" xfId="0" applyNumberFormat="1" applyFont="1" applyBorder="1">
      <alignment vertical="top"/>
    </xf>
    <xf numFmtId="0" fontId="8" fillId="0" borderId="9" xfId="0" applyNumberFormat="1" applyFont="1" applyBorder="1" applyAlignment="1">
      <alignment vertical="center"/>
    </xf>
    <xf numFmtId="49" fontId="8" fillId="0" borderId="23" xfId="0" applyNumberFormat="1" applyFont="1" applyBorder="1" applyAlignment="1">
      <alignment horizontal="center" vertical="center"/>
    </xf>
    <xf numFmtId="49" fontId="8" fillId="0" borderId="0" xfId="0" applyNumberFormat="1" applyFont="1">
      <alignment vertical="top"/>
    </xf>
    <xf numFmtId="49" fontId="0" fillId="6" borderId="23" xfId="0" applyNumberFormat="1" applyFont="1" applyFill="1" applyBorder="1" applyAlignment="1" applyProtection="1">
      <alignment horizontal="left" vertical="center"/>
      <protection locked="0"/>
    </xf>
    <xf numFmtId="49" fontId="0" fillId="0" borderId="4" xfId="0" applyNumberFormat="1" applyFont="1" applyBorder="1" applyAlignment="1">
      <alignment horizontal="center" vertical="center"/>
    </xf>
    <xf numFmtId="49" fontId="0" fillId="0" borderId="23" xfId="0" applyNumberFormat="1" applyFont="1" applyBorder="1" applyAlignment="1">
      <alignment horizontal="right" vertical="center"/>
    </xf>
    <xf numFmtId="0" fontId="0" fillId="11" borderId="23" xfId="0" applyNumberFormat="1" applyFont="1" applyFill="1" applyBorder="1" applyAlignment="1">
      <alignment horizontal="center" vertical="center"/>
    </xf>
    <xf numFmtId="49" fontId="0" fillId="0" borderId="23" xfId="0" applyNumberFormat="1" applyFont="1" applyBorder="1" applyAlignment="1">
      <alignment horizontal="center" vertical="center"/>
    </xf>
    <xf numFmtId="49" fontId="0" fillId="0" borderId="0" xfId="0" applyNumberFormat="1" applyFont="1" applyAlignment="1">
      <alignment horizontal="left" vertical="center"/>
    </xf>
    <xf numFmtId="0" fontId="0" fillId="0" borderId="0" xfId="0" applyNumberFormat="1" applyFont="1" applyAlignment="1">
      <alignment horizontal="center" vertical="center"/>
    </xf>
    <xf numFmtId="0" fontId="92" fillId="0" borderId="38" xfId="0" applyNumberFormat="1" applyFont="1" applyBorder="1" applyAlignment="1">
      <alignment horizontal="center" vertical="center"/>
    </xf>
    <xf numFmtId="0" fontId="0" fillId="0" borderId="38" xfId="0" applyNumberFormat="1" applyFont="1" applyBorder="1" applyAlignment="1">
      <alignment horizontal="center" vertical="center"/>
    </xf>
    <xf numFmtId="49" fontId="25" fillId="21" borderId="4" xfId="0" applyNumberFormat="1" applyFont="1" applyFill="1" applyBorder="1" applyAlignment="1">
      <alignment horizontal="right" vertical="center"/>
    </xf>
    <xf numFmtId="49" fontId="8" fillId="6" borderId="29" xfId="0" applyNumberFormat="1" applyFont="1" applyFill="1" applyBorder="1" applyProtection="1">
      <alignment vertical="top"/>
      <protection locked="0"/>
    </xf>
    <xf numFmtId="0" fontId="8" fillId="0" borderId="4" xfId="0" applyNumberFormat="1" applyFont="1" applyBorder="1">
      <alignment vertical="top"/>
    </xf>
    <xf numFmtId="49" fontId="8" fillId="7" borderId="15" xfId="0" applyNumberFormat="1" applyFont="1" applyFill="1" applyBorder="1">
      <alignment vertical="top"/>
    </xf>
    <xf numFmtId="49" fontId="8" fillId="7" borderId="4" xfId="0" applyNumberFormat="1" applyFont="1" applyFill="1" applyBorder="1">
      <alignment vertical="top"/>
    </xf>
    <xf numFmtId="0" fontId="0" fillId="0" borderId="24" xfId="0" applyNumberFormat="1" applyFont="1" applyBorder="1" applyAlignment="1">
      <alignment horizontal="center" vertical="center"/>
    </xf>
    <xf numFmtId="0" fontId="0" fillId="0" borderId="23" xfId="0" applyNumberFormat="1" applyFont="1" applyBorder="1" applyAlignment="1">
      <alignment horizontal="center" vertical="center"/>
    </xf>
    <xf numFmtId="49" fontId="0" fillId="0" borderId="0" xfId="0" applyNumberFormat="1" applyFont="1" applyAlignment="1">
      <alignment vertical="center"/>
    </xf>
    <xf numFmtId="49" fontId="25" fillId="21" borderId="6" xfId="0" applyNumberFormat="1" applyFont="1" applyFill="1" applyBorder="1" applyAlignment="1">
      <alignment horizontal="right" vertical="center"/>
    </xf>
    <xf numFmtId="0" fontId="0" fillId="22" borderId="0" xfId="0" applyNumberFormat="1" applyFont="1" applyFill="1" applyAlignment="1">
      <alignment horizontal="right" vertical="center"/>
    </xf>
    <xf numFmtId="0" fontId="8" fillId="9" borderId="0" xfId="0" applyNumberFormat="1" applyFont="1" applyFill="1" applyAlignment="1">
      <alignment vertical="center" wrapText="1"/>
    </xf>
    <xf numFmtId="0" fontId="25" fillId="0" borderId="0" xfId="0" applyNumberFormat="1" applyFont="1" applyAlignment="1">
      <alignment vertical="center" wrapText="1"/>
    </xf>
    <xf numFmtId="49" fontId="8" fillId="0" borderId="0" xfId="0" applyNumberFormat="1" applyFont="1">
      <alignment vertical="top"/>
    </xf>
    <xf numFmtId="0" fontId="39" fillId="0" borderId="0" xfId="0" applyNumberFormat="1" applyFont="1" applyAlignment="1">
      <alignment vertical="center" wrapText="1"/>
    </xf>
    <xf numFmtId="49" fontId="88" fillId="0" borderId="0" xfId="0" applyNumberFormat="1" applyFont="1" applyAlignment="1">
      <alignment horizontal="center" vertical="center" wrapText="1"/>
    </xf>
    <xf numFmtId="0" fontId="8" fillId="9" borderId="0" xfId="0" applyNumberFormat="1" applyFont="1" applyFill="1" applyAlignment="1">
      <alignment vertical="center" wrapText="1"/>
    </xf>
    <xf numFmtId="0" fontId="8" fillId="0" borderId="0" xfId="0" applyNumberFormat="1" applyFont="1" applyAlignment="1">
      <alignment vertical="center" wrapText="1"/>
    </xf>
    <xf numFmtId="0" fontId="19" fillId="9" borderId="31" xfId="0" applyNumberFormat="1" applyFont="1" applyFill="1" applyBorder="1" applyAlignment="1">
      <alignment horizontal="center" wrapText="1"/>
    </xf>
    <xf numFmtId="49" fontId="60" fillId="0" borderId="31" xfId="0" applyNumberFormat="1" applyFont="1" applyBorder="1">
      <alignment vertical="top"/>
    </xf>
    <xf numFmtId="0" fontId="0" fillId="0" borderId="4" xfId="0" applyNumberFormat="1" applyFont="1" applyBorder="1" applyAlignment="1">
      <alignment horizontal="center" vertical="center" wrapText="1"/>
    </xf>
    <xf numFmtId="0" fontId="8" fillId="0" borderId="0" xfId="0" applyNumberFormat="1" applyFont="1" applyAlignment="1">
      <alignment horizontal="left" vertical="center" wrapText="1" indent="3"/>
    </xf>
    <xf numFmtId="0" fontId="8" fillId="0" borderId="0" xfId="0" applyNumberFormat="1" applyFont="1" applyAlignment="1">
      <alignment horizontal="left" vertical="center" wrapText="1" indent="3"/>
    </xf>
    <xf numFmtId="0" fontId="25" fillId="0" borderId="0" xfId="0" applyNumberFormat="1" applyFont="1" applyAlignment="1">
      <alignment vertical="center" wrapText="1"/>
    </xf>
    <xf numFmtId="49" fontId="8" fillId="0" borderId="0" xfId="0" applyNumberFormat="1" applyFont="1">
      <alignment vertical="top"/>
    </xf>
    <xf numFmtId="0" fontId="39" fillId="0" borderId="0" xfId="0" applyNumberFormat="1" applyFont="1" applyAlignment="1">
      <alignment vertical="center" wrapText="1"/>
    </xf>
    <xf numFmtId="0" fontId="8" fillId="0" borderId="4" xfId="0" applyNumberFormat="1" applyFont="1" applyBorder="1" applyAlignment="1">
      <alignment horizontal="center" vertical="center" wrapText="1"/>
    </xf>
    <xf numFmtId="0" fontId="8" fillId="0" borderId="0" xfId="0" applyNumberFormat="1" applyFont="1" applyAlignment="1">
      <alignment vertical="center" wrapText="1"/>
    </xf>
    <xf numFmtId="0" fontId="8" fillId="9" borderId="31" xfId="0" applyNumberFormat="1" applyFont="1" applyFill="1" applyBorder="1" applyAlignment="1">
      <alignment vertical="center" wrapText="1"/>
    </xf>
    <xf numFmtId="0" fontId="25" fillId="0" borderId="0" xfId="0" applyNumberFormat="1" applyFont="1" applyAlignment="1">
      <alignment vertical="center" wrapText="1"/>
    </xf>
    <xf numFmtId="49" fontId="8" fillId="0" borderId="0" xfId="0" applyNumberFormat="1" applyFont="1">
      <alignment vertical="top"/>
    </xf>
    <xf numFmtId="0" fontId="39" fillId="0" borderId="0" xfId="0" applyNumberFormat="1" applyFont="1" applyAlignment="1">
      <alignment vertical="center" wrapText="1"/>
    </xf>
    <xf numFmtId="0" fontId="8" fillId="0" borderId="0" xfId="0" applyNumberFormat="1" applyFont="1" applyAlignment="1">
      <alignment vertical="center" wrapText="1"/>
    </xf>
    <xf numFmtId="0" fontId="8" fillId="0" borderId="0" xfId="0" applyNumberFormat="1" applyFont="1" applyAlignment="1">
      <alignment vertical="center" wrapText="1"/>
    </xf>
    <xf numFmtId="0" fontId="8" fillId="9" borderId="31" xfId="0" applyNumberFormat="1" applyFont="1" applyFill="1" applyBorder="1" applyAlignment="1">
      <alignment vertical="center" wrapText="1"/>
    </xf>
    <xf numFmtId="49" fontId="39" fillId="21" borderId="0" xfId="0" applyNumberFormat="1" applyFont="1" applyFill="1" applyAlignment="1">
      <alignment horizontal="center" vertical="center" wrapText="1"/>
    </xf>
    <xf numFmtId="0" fontId="8" fillId="0" borderId="4" xfId="0" applyNumberFormat="1" applyFont="1" applyBorder="1" applyAlignment="1">
      <alignment horizontal="center" vertical="center" wrapText="1"/>
    </xf>
    <xf numFmtId="0" fontId="8" fillId="0" borderId="4" xfId="0" applyNumberFormat="1" applyFont="1" applyBorder="1" applyAlignment="1">
      <alignment horizontal="center" vertical="center" wrapText="1"/>
    </xf>
    <xf numFmtId="0" fontId="8" fillId="0" borderId="0" xfId="0" applyNumberFormat="1" applyFont="1" applyAlignment="1">
      <alignment vertical="center" wrapText="1"/>
    </xf>
    <xf numFmtId="0" fontId="25" fillId="0" borderId="0" xfId="0" applyNumberFormat="1" applyFont="1" applyAlignment="1">
      <alignment vertical="center" wrapText="1"/>
    </xf>
    <xf numFmtId="49" fontId="8" fillId="0" borderId="0" xfId="0" applyNumberFormat="1" applyFont="1">
      <alignment vertical="top"/>
    </xf>
    <xf numFmtId="49" fontId="94" fillId="0" borderId="8" xfId="0" applyNumberFormat="1" applyFont="1" applyBorder="1">
      <alignment vertical="top"/>
    </xf>
    <xf numFmtId="0" fontId="0" fillId="0" borderId="0" xfId="0" applyNumberFormat="1" applyFont="1">
      <alignment vertical="top"/>
    </xf>
    <xf numFmtId="0" fontId="39" fillId="0" borderId="0" xfId="0" applyNumberFormat="1" applyFont="1" applyAlignment="1">
      <alignment vertical="center" wrapText="1"/>
    </xf>
    <xf numFmtId="49" fontId="13" fillId="14" borderId="4" xfId="0" applyNumberFormat="1" applyFont="1" applyFill="1" applyBorder="1" applyAlignment="1" applyProtection="1">
      <alignment horizontal="left" vertical="center" wrapText="1"/>
      <protection locked="0"/>
    </xf>
    <xf numFmtId="0" fontId="8" fillId="0" borderId="6" xfId="0" applyNumberFormat="1" applyFont="1" applyBorder="1" applyAlignment="1">
      <alignment horizontal="left" vertical="center"/>
    </xf>
    <xf numFmtId="0" fontId="0" fillId="0" borderId="6" xfId="0" applyNumberFormat="1" applyFont="1" applyBorder="1" applyAlignment="1">
      <alignment horizontal="left" vertical="center"/>
    </xf>
    <xf numFmtId="49" fontId="13" fillId="14" borderId="4" xfId="0" applyNumberFormat="1" applyFont="1" applyFill="1" applyBorder="1" applyAlignment="1" applyProtection="1">
      <alignment horizontal="left" vertical="center" wrapText="1"/>
      <protection locked="0"/>
    </xf>
    <xf numFmtId="0" fontId="8" fillId="9" borderId="18" xfId="33" applyFont="1" applyFill="1" applyBorder="1" applyAlignment="1">
      <alignment horizontal="right" vertical="center" wrapText="1" indent="1"/>
    </xf>
    <xf numFmtId="49" fontId="39" fillId="0" borderId="0" xfId="0" applyNumberFormat="1" applyFont="1" applyAlignment="1">
      <alignment horizontal="center" vertical="center" wrapText="1"/>
    </xf>
    <xf numFmtId="49" fontId="40" fillId="0" borderId="0" xfId="0" applyNumberFormat="1" applyFont="1" applyAlignment="1">
      <alignment horizontal="center" vertical="center" wrapText="1"/>
    </xf>
    <xf numFmtId="49" fontId="33" fillId="13" borderId="7" xfId="0" applyNumberFormat="1" applyFont="1" applyFill="1" applyBorder="1" applyAlignment="1">
      <alignment horizontal="left" vertical="center" indent="1"/>
    </xf>
    <xf numFmtId="4" fontId="8" fillId="14" borderId="23" xfId="0" applyNumberFormat="1" applyFont="1" applyFill="1" applyBorder="1" applyAlignment="1" applyProtection="1">
      <alignment horizontal="right" vertical="center" wrapText="1"/>
      <protection locked="0"/>
    </xf>
    <xf numFmtId="0" fontId="8" fillId="9" borderId="0" xfId="0" applyNumberFormat="1" applyFont="1" applyFill="1" applyAlignment="1">
      <alignment vertical="center" wrapText="1"/>
    </xf>
    <xf numFmtId="0" fontId="8" fillId="0" borderId="0" xfId="0" applyNumberFormat="1" applyFont="1" applyAlignment="1">
      <alignment vertical="center"/>
    </xf>
    <xf numFmtId="0" fontId="8" fillId="0" borderId="0" xfId="0" applyNumberFormat="1" applyFont="1" applyAlignment="1">
      <alignment vertical="center" wrapText="1"/>
    </xf>
    <xf numFmtId="0" fontId="8" fillId="13" borderId="43" xfId="0" applyNumberFormat="1" applyFont="1" applyFill="1" applyBorder="1" applyAlignment="1">
      <alignment vertical="center" wrapText="1"/>
    </xf>
    <xf numFmtId="49" fontId="95" fillId="13" borderId="6" xfId="0" applyNumberFormat="1" applyFont="1" applyFill="1" applyBorder="1" applyAlignment="1">
      <alignment horizontal="left" vertical="center" indent="1"/>
    </xf>
    <xf numFmtId="49" fontId="95" fillId="13" borderId="7" xfId="0" applyNumberFormat="1" applyFont="1" applyFill="1" applyBorder="1" applyAlignment="1">
      <alignment horizontal="left" vertical="center" indent="1"/>
    </xf>
    <xf numFmtId="49" fontId="84" fillId="13" borderId="35" xfId="0" applyNumberFormat="1" applyFont="1" applyFill="1" applyBorder="1" applyAlignment="1">
      <alignment horizontal="center" vertical="center"/>
    </xf>
    <xf numFmtId="49" fontId="95" fillId="13" borderId="35" xfId="0" applyNumberFormat="1" applyFont="1" applyFill="1" applyBorder="1" applyAlignment="1">
      <alignment horizontal="left" vertical="center" indent="1"/>
    </xf>
    <xf numFmtId="49" fontId="96" fillId="0" borderId="0" xfId="0" applyNumberFormat="1" applyFont="1" applyAlignment="1">
      <alignment horizontal="center" vertical="top" wrapText="1"/>
    </xf>
    <xf numFmtId="0" fontId="38" fillId="0" borderId="4" xfId="0" applyNumberFormat="1" applyFont="1" applyBorder="1" applyAlignment="1">
      <alignment horizontal="center" vertical="center"/>
    </xf>
    <xf numFmtId="49" fontId="95" fillId="13" borderId="44" xfId="0" applyNumberFormat="1" applyFont="1" applyFill="1" applyBorder="1" applyAlignment="1">
      <alignment horizontal="left" vertical="center" indent="1"/>
    </xf>
    <xf numFmtId="0" fontId="8" fillId="9" borderId="31" xfId="0" applyNumberFormat="1" applyFont="1" applyFill="1" applyBorder="1" applyAlignment="1">
      <alignment vertical="center" wrapText="1"/>
    </xf>
    <xf numFmtId="0" fontId="8" fillId="0" borderId="46" xfId="0" applyNumberFormat="1" applyFont="1" applyBorder="1" applyAlignment="1">
      <alignment vertical="center" wrapText="1"/>
    </xf>
    <xf numFmtId="0" fontId="8" fillId="15" borderId="4" xfId="0" applyNumberFormat="1" applyFont="1" applyFill="1" applyBorder="1" applyAlignment="1">
      <alignment horizontal="left" vertical="center" wrapText="1" indent="1"/>
    </xf>
    <xf numFmtId="49" fontId="0" fillId="0" borderId="0" xfId="0" applyNumberFormat="1" applyFont="1">
      <alignment vertical="top"/>
    </xf>
    <xf numFmtId="0" fontId="8" fillId="0" borderId="28" xfId="0" applyNumberFormat="1" applyFont="1" applyBorder="1" applyAlignment="1">
      <alignment horizontal="center" vertical="center" wrapText="1"/>
    </xf>
    <xf numFmtId="0" fontId="8" fillId="0" borderId="4" xfId="0" applyNumberFormat="1" applyFont="1" applyBorder="1" applyAlignment="1">
      <alignment horizontal="center" vertical="center" wrapText="1"/>
    </xf>
    <xf numFmtId="0" fontId="8" fillId="9" borderId="4" xfId="0" applyNumberFormat="1" applyFont="1" applyFill="1" applyBorder="1" applyAlignment="1">
      <alignment horizontal="center" vertical="center" wrapText="1"/>
    </xf>
    <xf numFmtId="49" fontId="29" fillId="0" borderId="4" xfId="0" applyNumberFormat="1" applyFont="1" applyBorder="1" applyAlignment="1">
      <alignment horizontal="center" vertical="center"/>
    </xf>
    <xf numFmtId="49" fontId="29" fillId="7" borderId="4" xfId="0" applyNumberFormat="1" applyFont="1" applyFill="1" applyBorder="1" applyAlignment="1">
      <alignment horizontal="center" vertical="center"/>
    </xf>
    <xf numFmtId="0" fontId="29" fillId="0" borderId="4" xfId="0" applyNumberFormat="1" applyFont="1" applyBorder="1" applyAlignment="1">
      <alignment horizontal="center" vertical="center"/>
    </xf>
    <xf numFmtId="49" fontId="29" fillId="0" borderId="15" xfId="0" applyNumberFormat="1" applyFont="1" applyBorder="1" applyAlignment="1">
      <alignment horizontal="center" vertical="center"/>
    </xf>
    <xf numFmtId="49" fontId="8" fillId="0" borderId="0" xfId="0" applyNumberFormat="1" applyFont="1" applyAlignment="1">
      <alignment vertical="center"/>
    </xf>
    <xf numFmtId="49" fontId="39" fillId="0" borderId="9" xfId="0" applyNumberFormat="1" applyFont="1" applyBorder="1" applyAlignment="1">
      <alignment horizontal="center" vertical="center"/>
    </xf>
    <xf numFmtId="49" fontId="8" fillId="0" borderId="9" xfId="0" applyNumberFormat="1" applyFont="1" applyBorder="1" applyAlignment="1">
      <alignment horizontal="center" vertical="center"/>
    </xf>
    <xf numFmtId="0" fontId="8" fillId="0" borderId="9" xfId="0" applyNumberFormat="1" applyFont="1" applyBorder="1" applyAlignment="1">
      <alignment horizontal="right" vertical="center"/>
    </xf>
    <xf numFmtId="0" fontId="8" fillId="0" borderId="9" xfId="0" applyNumberFormat="1" applyFont="1" applyBorder="1" applyAlignment="1">
      <alignment horizontal="center" vertical="center"/>
    </xf>
    <xf numFmtId="0" fontId="8" fillId="0" borderId="4" xfId="0" applyNumberFormat="1" applyFont="1" applyBorder="1" applyAlignment="1">
      <alignment horizontal="right" vertical="center"/>
    </xf>
    <xf numFmtId="49" fontId="8" fillId="0" borderId="0" xfId="0" applyNumberFormat="1" applyFont="1" applyAlignment="1">
      <alignment vertical="center"/>
    </xf>
    <xf numFmtId="0" fontId="8" fillId="0" borderId="48" xfId="0" applyNumberFormat="1" applyFont="1" applyBorder="1" applyAlignment="1">
      <alignment horizontal="right" vertical="center"/>
    </xf>
    <xf numFmtId="0" fontId="8" fillId="0" borderId="48" xfId="0" applyNumberFormat="1" applyFont="1" applyBorder="1" applyAlignment="1">
      <alignment horizontal="center" vertical="center"/>
    </xf>
    <xf numFmtId="0" fontId="8" fillId="0" borderId="7" xfId="0" applyNumberFormat="1" applyFont="1" applyBorder="1" applyAlignment="1">
      <alignment horizontal="right" vertical="center"/>
    </xf>
    <xf numFmtId="0" fontId="8" fillId="0" borderId="5" xfId="0" applyNumberFormat="1" applyFont="1" applyBorder="1" applyAlignment="1">
      <alignment horizontal="right" vertical="center"/>
    </xf>
    <xf numFmtId="0" fontId="8" fillId="9" borderId="4" xfId="0" applyNumberFormat="1" applyFont="1" applyFill="1" applyBorder="1" applyAlignment="1">
      <alignment horizontal="center" vertical="center"/>
    </xf>
    <xf numFmtId="0" fontId="8" fillId="7" borderId="4" xfId="0" applyNumberFormat="1" applyFont="1" applyFill="1" applyBorder="1" applyAlignment="1">
      <alignment horizontal="right" vertical="center"/>
    </xf>
    <xf numFmtId="3" fontId="8" fillId="6" borderId="4" xfId="0" applyNumberFormat="1" applyFont="1" applyFill="1" applyBorder="1" applyAlignment="1" applyProtection="1">
      <alignment horizontal="right" vertical="center"/>
      <protection locked="0"/>
    </xf>
    <xf numFmtId="49" fontId="33" fillId="13" borderId="43" xfId="0" applyNumberFormat="1" applyFont="1" applyFill="1" applyBorder="1" applyAlignment="1">
      <alignment horizontal="left" vertical="center" indent="1"/>
    </xf>
    <xf numFmtId="49" fontId="33" fillId="26" borderId="5" xfId="0" applyNumberFormat="1" applyFont="1" applyFill="1" applyBorder="1" applyAlignment="1">
      <alignment horizontal="left" vertical="center" indent="1"/>
    </xf>
    <xf numFmtId="49" fontId="8" fillId="0" borderId="0" xfId="0" applyNumberFormat="1" applyFont="1">
      <alignment vertical="top"/>
    </xf>
    <xf numFmtId="0" fontId="8" fillId="22" borderId="0" xfId="0" applyNumberFormat="1" applyFont="1" applyFill="1" applyAlignment="1">
      <alignment horizontal="left" vertical="center"/>
    </xf>
    <xf numFmtId="49" fontId="8" fillId="15" borderId="4" xfId="0" applyNumberFormat="1" applyFont="1" applyFill="1" applyBorder="1" applyAlignment="1">
      <alignment horizontal="center" vertical="center" wrapText="1"/>
    </xf>
    <xf numFmtId="0" fontId="8" fillId="9" borderId="4" xfId="0" applyNumberFormat="1" applyFont="1" applyFill="1" applyBorder="1" applyAlignment="1">
      <alignment horizontal="center" vertical="center" wrapText="1"/>
    </xf>
    <xf numFmtId="0" fontId="8" fillId="0" borderId="0" xfId="0" applyNumberFormat="1" applyFont="1" applyAlignment="1">
      <alignment horizontal="right" vertical="center" wrapText="1"/>
    </xf>
    <xf numFmtId="0" fontId="29" fillId="9" borderId="0" xfId="0" applyNumberFormat="1" applyFont="1" applyFill="1" applyAlignment="1">
      <alignment horizontal="center" vertical="center" wrapText="1"/>
    </xf>
    <xf numFmtId="0" fontId="40" fillId="0" borderId="0" xfId="0" applyNumberFormat="1" applyFont="1" applyAlignment="1">
      <alignment horizontal="center" vertical="center" wrapText="1"/>
    </xf>
    <xf numFmtId="0" fontId="0" fillId="0" borderId="4" xfId="0" applyNumberFormat="1" applyFont="1" applyBorder="1" applyAlignment="1">
      <alignment horizontal="center" vertical="center" wrapText="1"/>
    </xf>
    <xf numFmtId="0" fontId="0" fillId="0" borderId="4" xfId="0" applyNumberFormat="1" applyFont="1" applyBorder="1" applyAlignment="1">
      <alignment horizontal="center" vertical="center" wrapText="1"/>
    </xf>
    <xf numFmtId="49" fontId="8" fillId="0" borderId="4" xfId="0" applyNumberFormat="1" applyFont="1" applyBorder="1" applyAlignment="1">
      <alignment horizontal="center" vertical="center" wrapText="1"/>
    </xf>
    <xf numFmtId="49" fontId="8" fillId="0" borderId="4" xfId="0" applyNumberFormat="1" applyFont="1" applyBorder="1" applyAlignment="1">
      <alignment horizontal="left" vertical="center" wrapText="1"/>
    </xf>
    <xf numFmtId="0" fontId="8" fillId="0" borderId="4" xfId="0" applyNumberFormat="1" applyFont="1" applyBorder="1" applyAlignment="1">
      <alignment horizontal="left" vertical="center" wrapText="1"/>
    </xf>
    <xf numFmtId="0" fontId="8" fillId="9" borderId="4" xfId="0" applyNumberFormat="1" applyFont="1" applyFill="1" applyBorder="1" applyAlignment="1">
      <alignment horizontal="left" vertical="center" wrapText="1"/>
    </xf>
    <xf numFmtId="0" fontId="30" fillId="9" borderId="0" xfId="0" applyNumberFormat="1" applyFont="1" applyFill="1" applyAlignment="1">
      <alignment horizontal="center" vertical="center" wrapText="1"/>
    </xf>
    <xf numFmtId="49" fontId="0" fillId="0" borderId="4" xfId="0" applyNumberFormat="1" applyFont="1" applyBorder="1" applyAlignment="1">
      <alignment horizontal="center" vertical="center" wrapText="1"/>
    </xf>
    <xf numFmtId="49" fontId="0" fillId="0" borderId="4" xfId="0" applyNumberFormat="1" applyFont="1" applyBorder="1" applyAlignment="1">
      <alignment horizontal="center" vertical="center"/>
    </xf>
    <xf numFmtId="0" fontId="8" fillId="9" borderId="11" xfId="0" applyNumberFormat="1" applyFont="1" applyFill="1" applyBorder="1" applyAlignment="1">
      <alignment vertical="center" wrapText="1"/>
    </xf>
    <xf numFmtId="49" fontId="40" fillId="0" borderId="0" xfId="0" applyNumberFormat="1" applyFont="1">
      <alignment vertical="top"/>
    </xf>
    <xf numFmtId="0" fontId="40" fillId="0" borderId="31" xfId="0" applyNumberFormat="1" applyFont="1" applyBorder="1" applyAlignment="1">
      <alignment vertical="center" wrapText="1"/>
    </xf>
    <xf numFmtId="49" fontId="0" fillId="0" borderId="4" xfId="0" applyNumberFormat="1" applyFont="1" applyBorder="1" applyAlignment="1">
      <alignment horizontal="center" vertical="center"/>
    </xf>
    <xf numFmtId="49" fontId="0" fillId="0" borderId="4" xfId="0" applyNumberFormat="1" applyFont="1" applyBorder="1" applyAlignment="1">
      <alignment horizontal="center" vertical="center" wrapText="1"/>
    </xf>
    <xf numFmtId="49" fontId="0" fillId="11" borderId="4" xfId="0" applyNumberFormat="1" applyFont="1" applyFill="1" applyBorder="1" applyAlignment="1">
      <alignment horizontal="center" vertical="center"/>
    </xf>
    <xf numFmtId="49" fontId="8" fillId="0" borderId="14" xfId="0" applyNumberFormat="1" applyFont="1" applyBorder="1">
      <alignment vertical="top"/>
    </xf>
    <xf numFmtId="0" fontId="8" fillId="0" borderId="14" xfId="0" applyNumberFormat="1" applyFont="1" applyBorder="1" applyAlignment="1">
      <alignment vertical="center" wrapText="1"/>
    </xf>
    <xf numFmtId="4" fontId="0" fillId="6" borderId="4" xfId="0" applyNumberFormat="1" applyFont="1" applyFill="1" applyBorder="1" applyAlignment="1" applyProtection="1">
      <alignment horizontal="right" vertical="center" wrapText="1"/>
      <protection locked="0"/>
    </xf>
    <xf numFmtId="4" fontId="0" fillId="11" borderId="4" xfId="0" applyNumberFormat="1" applyFont="1" applyFill="1" applyBorder="1" applyAlignment="1">
      <alignment horizontal="right" vertical="center" wrapText="1"/>
    </xf>
    <xf numFmtId="49" fontId="0" fillId="0" borderId="4" xfId="0" applyNumberFormat="1" applyFont="1" applyBorder="1" applyAlignment="1">
      <alignment horizontal="left" vertical="center" wrapText="1" indent="2"/>
    </xf>
    <xf numFmtId="49" fontId="0" fillId="0" borderId="4" xfId="0" applyNumberFormat="1" applyFont="1" applyBorder="1" applyAlignment="1">
      <alignment horizontal="left" vertical="center" wrapText="1" indent="3"/>
    </xf>
    <xf numFmtId="49" fontId="0" fillId="0" borderId="4" xfId="0" applyNumberFormat="1" applyFont="1" applyBorder="1" applyAlignment="1">
      <alignment horizontal="left" vertical="center" wrapText="1"/>
    </xf>
    <xf numFmtId="0" fontId="8" fillId="0" borderId="30" xfId="0" applyNumberFormat="1" applyFont="1" applyBorder="1" applyAlignment="1">
      <alignment vertical="center"/>
    </xf>
    <xf numFmtId="49" fontId="33" fillId="13" borderId="7" xfId="0" applyNumberFormat="1" applyFont="1" applyFill="1" applyBorder="1" applyAlignment="1">
      <alignment horizontal="left" vertical="center" indent="1"/>
    </xf>
    <xf numFmtId="49" fontId="8" fillId="14" borderId="9" xfId="0" applyNumberFormat="1" applyFont="1" applyFill="1" applyBorder="1" applyAlignment="1" applyProtection="1">
      <alignment horizontal="left" vertical="center" wrapText="1" indent="1"/>
      <protection locked="0"/>
    </xf>
    <xf numFmtId="0" fontId="7" fillId="0" borderId="0" xfId="0" applyNumberFormat="1" applyFont="1" applyAlignment="1">
      <alignment vertical="center" wrapText="1"/>
    </xf>
    <xf numFmtId="0" fontId="8" fillId="9" borderId="20" xfId="0" applyNumberFormat="1" applyFont="1" applyFill="1" applyBorder="1" applyAlignment="1">
      <alignment vertical="center" wrapText="1"/>
    </xf>
    <xf numFmtId="0" fontId="40" fillId="9" borderId="11" xfId="0" applyNumberFormat="1" applyFont="1" applyFill="1" applyBorder="1" applyAlignment="1">
      <alignment horizontal="center" vertical="center" wrapText="1"/>
    </xf>
    <xf numFmtId="49" fontId="63" fillId="0" borderId="0" xfId="0" applyNumberFormat="1" applyFont="1" applyAlignment="1">
      <alignment vertical="center" wrapText="1"/>
    </xf>
    <xf numFmtId="0" fontId="97" fillId="9" borderId="0" xfId="0" applyNumberFormat="1" applyFont="1" applyFill="1" applyAlignment="1">
      <alignment vertical="center" wrapText="1"/>
    </xf>
    <xf numFmtId="0" fontId="62" fillId="0" borderId="0" xfId="0" applyNumberFormat="1" applyFont="1" applyAlignment="1">
      <alignment horizontal="left" vertical="center" wrapText="1"/>
    </xf>
    <xf numFmtId="0" fontId="8" fillId="0" borderId="0" xfId="0" applyNumberFormat="1" applyFont="1" applyAlignment="1">
      <alignment vertical="center"/>
    </xf>
    <xf numFmtId="49" fontId="40" fillId="9" borderId="0" xfId="0" applyNumberFormat="1" applyFont="1" applyFill="1" applyAlignment="1">
      <alignment horizontal="center" vertical="center" wrapText="1"/>
    </xf>
    <xf numFmtId="0" fontId="8" fillId="0" borderId="0" xfId="0" applyNumberFormat="1" applyFont="1" applyAlignment="1">
      <alignment horizontal="left" vertical="center" wrapText="1"/>
    </xf>
    <xf numFmtId="0" fontId="40" fillId="0" borderId="0" xfId="0" applyNumberFormat="1" applyFont="1" applyAlignment="1">
      <alignment vertical="center"/>
    </xf>
    <xf numFmtId="0" fontId="8" fillId="0" borderId="0" xfId="0" applyNumberFormat="1" applyFont="1" applyAlignment="1">
      <alignment horizontal="left" vertical="center" wrapText="1" indent="1"/>
    </xf>
    <xf numFmtId="0" fontId="72" fillId="0" borderId="0" xfId="0" applyNumberFormat="1" applyFont="1" applyAlignment="1">
      <alignment vertical="center" wrapText="1"/>
    </xf>
    <xf numFmtId="0" fontId="8" fillId="0" borderId="0" xfId="0" applyNumberFormat="1" applyFont="1" applyAlignment="1">
      <alignment horizontal="right" vertical="top" wrapText="1"/>
    </xf>
    <xf numFmtId="49" fontId="0" fillId="9" borderId="4" xfId="0" applyNumberFormat="1" applyFont="1" applyFill="1" applyBorder="1" applyAlignment="1">
      <alignment horizontal="center" vertical="center" wrapText="1"/>
    </xf>
    <xf numFmtId="4" fontId="0" fillId="9" borderId="6" xfId="0" applyNumberFormat="1" applyFont="1" applyFill="1" applyBorder="1" applyAlignment="1">
      <alignment horizontal="right" vertical="center"/>
    </xf>
    <xf numFmtId="0" fontId="8" fillId="0" borderId="6" xfId="0" applyNumberFormat="1" applyFont="1" applyBorder="1" applyAlignment="1">
      <alignment horizontal="left" vertical="center" wrapText="1" indent="6"/>
    </xf>
    <xf numFmtId="49" fontId="8" fillId="13" borderId="22" xfId="0" applyNumberFormat="1" applyFont="1" applyFill="1" applyBorder="1" applyAlignment="1">
      <alignment horizontal="center" vertical="center" wrapText="1"/>
    </xf>
    <xf numFmtId="0" fontId="40" fillId="0" borderId="0" xfId="0" applyNumberFormat="1" applyFont="1" applyAlignment="1">
      <alignment vertical="top" wrapText="1"/>
    </xf>
    <xf numFmtId="49" fontId="0" fillId="0" borderId="0" xfId="0" applyNumberFormat="1" applyFont="1" applyAlignment="1">
      <alignment vertical="center" wrapText="1"/>
    </xf>
    <xf numFmtId="0" fontId="98" fillId="9" borderId="0" xfId="0" applyNumberFormat="1" applyFont="1" applyFill="1" applyAlignment="1">
      <alignment vertical="center" wrapText="1"/>
    </xf>
    <xf numFmtId="49" fontId="70" fillId="9" borderId="11" xfId="0" applyNumberFormat="1" applyFont="1" applyFill="1" applyBorder="1" applyAlignment="1">
      <alignment horizontal="center" vertical="center" wrapText="1"/>
    </xf>
    <xf numFmtId="0" fontId="70" fillId="9" borderId="11" xfId="0" applyNumberFormat="1" applyFont="1" applyFill="1" applyBorder="1" applyAlignment="1">
      <alignment horizontal="center" vertical="center" wrapText="1"/>
    </xf>
    <xf numFmtId="49" fontId="8" fillId="0" borderId="0" xfId="0" applyNumberFormat="1" applyFont="1" applyAlignment="1">
      <alignment horizontal="left" vertical="center"/>
    </xf>
    <xf numFmtId="49" fontId="8" fillId="0" borderId="0" xfId="0" applyNumberFormat="1" applyFont="1" applyAlignment="1">
      <alignment horizontal="left" vertical="top"/>
    </xf>
    <xf numFmtId="0" fontId="38" fillId="0" borderId="4" xfId="0" applyNumberFormat="1" applyFont="1" applyBorder="1" applyAlignment="1">
      <alignment vertical="top" wrapText="1"/>
    </xf>
    <xf numFmtId="0" fontId="8" fillId="15" borderId="4" xfId="0" applyNumberFormat="1" applyFont="1" applyFill="1" applyBorder="1" applyAlignment="1" applyProtection="1">
      <alignment horizontal="left" vertical="center" wrapText="1" indent="6"/>
      <protection locked="0"/>
    </xf>
    <xf numFmtId="0" fontId="8" fillId="0" borderId="0" xfId="0" applyNumberFormat="1" applyFont="1" applyAlignment="1">
      <alignment vertical="center"/>
    </xf>
    <xf numFmtId="0" fontId="99" fillId="0" borderId="0" xfId="0" applyNumberFormat="1" applyFont="1" applyAlignment="1">
      <alignment vertical="center"/>
    </xf>
    <xf numFmtId="0" fontId="99" fillId="0" borderId="0" xfId="0" applyNumberFormat="1" applyFont="1" applyAlignment="1">
      <alignment vertical="center"/>
    </xf>
    <xf numFmtId="0" fontId="8" fillId="0" borderId="0" xfId="0" applyNumberFormat="1" applyFont="1" applyAlignment="1">
      <alignment vertical="center"/>
    </xf>
    <xf numFmtId="0" fontId="99" fillId="0" borderId="0" xfId="0" applyNumberFormat="1" applyFont="1" applyAlignment="1">
      <alignment vertical="center"/>
    </xf>
    <xf numFmtId="0" fontId="8" fillId="0" borderId="0" xfId="0" applyNumberFormat="1" applyFont="1" applyAlignment="1">
      <alignment vertical="center"/>
    </xf>
    <xf numFmtId="0" fontId="8" fillId="0" borderId="0" xfId="0" applyNumberFormat="1" applyFont="1" applyAlignment="1">
      <alignment vertical="center"/>
    </xf>
    <xf numFmtId="0" fontId="8" fillId="0" borderId="0" xfId="0" applyNumberFormat="1" applyFont="1" applyAlignment="1">
      <alignment horizontal="left" vertical="center" indent="1"/>
    </xf>
    <xf numFmtId="49" fontId="8" fillId="0" borderId="0" xfId="0" applyNumberFormat="1" applyFont="1" applyAlignment="1">
      <alignment horizontal="left" vertical="center"/>
    </xf>
    <xf numFmtId="49" fontId="100" fillId="13" borderId="7" xfId="0" applyNumberFormat="1" applyFont="1" applyFill="1" applyBorder="1" applyAlignment="1">
      <alignment horizontal="left" vertical="center" indent="3"/>
    </xf>
    <xf numFmtId="49" fontId="63" fillId="13" borderId="7" xfId="0" applyNumberFormat="1" applyFont="1" applyFill="1" applyBorder="1" applyAlignment="1">
      <alignment horizontal="center" vertical="center" wrapText="1"/>
    </xf>
    <xf numFmtId="49" fontId="57" fillId="13" borderId="7" xfId="0" applyNumberFormat="1" applyFont="1" applyFill="1" applyBorder="1" applyAlignment="1">
      <alignment horizontal="center" vertical="center" wrapText="1"/>
    </xf>
    <xf numFmtId="49" fontId="57" fillId="13" borderId="5" xfId="0" applyNumberFormat="1" applyFont="1" applyFill="1" applyBorder="1" applyAlignment="1">
      <alignment horizontal="center" vertical="center" wrapText="1"/>
    </xf>
    <xf numFmtId="49" fontId="100" fillId="13" borderId="7" xfId="0" applyNumberFormat="1" applyFont="1" applyFill="1" applyBorder="1" applyAlignment="1">
      <alignment horizontal="left" vertical="center" indent="2"/>
    </xf>
    <xf numFmtId="49" fontId="100" fillId="13" borderId="7" xfId="0" applyNumberFormat="1" applyFont="1" applyFill="1" applyBorder="1" applyAlignment="1">
      <alignment horizontal="left" vertical="center" indent="1"/>
    </xf>
    <xf numFmtId="49" fontId="100" fillId="13" borderId="7" xfId="0" applyNumberFormat="1" applyFont="1" applyFill="1" applyBorder="1" applyAlignment="1">
      <alignment horizontal="left" vertical="center"/>
    </xf>
    <xf numFmtId="0" fontId="8" fillId="9" borderId="0" xfId="0" applyNumberFormat="1" applyFont="1" applyFill="1" applyAlignment="1">
      <alignment horizontal="left" vertical="center" wrapText="1"/>
    </xf>
    <xf numFmtId="0" fontId="0" fillId="0" borderId="0" xfId="0" applyNumberFormat="1" applyFont="1" applyAlignment="1">
      <alignment horizontal="left" vertical="center"/>
    </xf>
    <xf numFmtId="49" fontId="70" fillId="9" borderId="11" xfId="0" applyNumberFormat="1" applyFont="1" applyFill="1" applyBorder="1" applyAlignment="1">
      <alignment horizontal="left" vertical="center" wrapText="1"/>
    </xf>
    <xf numFmtId="49" fontId="60" fillId="13" borderId="6" xfId="0" applyNumberFormat="1" applyFont="1" applyFill="1" applyBorder="1" applyAlignment="1">
      <alignment horizontal="left" vertical="center"/>
    </xf>
    <xf numFmtId="49" fontId="91" fillId="13" borderId="6" xfId="0" applyNumberFormat="1" applyFont="1" applyFill="1" applyBorder="1" applyAlignment="1">
      <alignment horizontal="left" vertical="center"/>
    </xf>
    <xf numFmtId="49" fontId="57" fillId="13" borderId="6" xfId="0" applyNumberFormat="1" applyFont="1" applyFill="1" applyBorder="1" applyAlignment="1">
      <alignment horizontal="left" vertical="top"/>
    </xf>
    <xf numFmtId="0" fontId="0" fillId="22" borderId="0" xfId="0" applyNumberFormat="1" applyFont="1" applyFill="1" applyAlignment="1">
      <alignment horizontal="right" vertical="center"/>
    </xf>
    <xf numFmtId="0" fontId="40" fillId="0" borderId="4" xfId="0" applyNumberFormat="1" applyFont="1" applyBorder="1" applyAlignment="1">
      <alignment horizontal="center" vertical="center"/>
    </xf>
    <xf numFmtId="0" fontId="8" fillId="0" borderId="4" xfId="0" applyNumberFormat="1" applyFont="1" applyBorder="1" applyAlignment="1">
      <alignment horizontal="center" vertical="center" wrapText="1"/>
    </xf>
    <xf numFmtId="0" fontId="0" fillId="0" borderId="0" xfId="0" applyNumberFormat="1" applyFont="1" applyAlignment="1">
      <alignment horizontal="left" vertical="top" wrapText="1"/>
    </xf>
    <xf numFmtId="49" fontId="8" fillId="0" borderId="0" xfId="0" applyNumberFormat="1" applyFont="1" applyAlignment="1">
      <alignment vertical="center" wrapText="1"/>
    </xf>
    <xf numFmtId="0" fontId="8" fillId="0" borderId="0" xfId="0" applyNumberFormat="1" applyFont="1" applyAlignment="1">
      <alignment horizontal="right" vertical="center" wrapText="1"/>
    </xf>
    <xf numFmtId="0" fontId="8" fillId="0" borderId="0" xfId="0" applyNumberFormat="1" applyFont="1" applyAlignment="1">
      <alignment horizontal="left" vertical="top" wrapText="1"/>
    </xf>
    <xf numFmtId="0" fontId="70" fillId="9" borderId="11" xfId="0" applyNumberFormat="1" applyFont="1" applyFill="1" applyBorder="1" applyAlignment="1">
      <alignment horizontal="center" vertical="center" wrapText="1"/>
    </xf>
    <xf numFmtId="0" fontId="8" fillId="0" borderId="0" xfId="0" applyNumberFormat="1" applyFont="1" applyAlignment="1">
      <alignment horizontal="center" vertical="center" wrapText="1"/>
    </xf>
    <xf numFmtId="0" fontId="40" fillId="0" borderId="0" xfId="0" applyNumberFormat="1" applyFont="1" applyAlignment="1">
      <alignment horizontal="center" vertical="center" wrapText="1"/>
    </xf>
    <xf numFmtId="0" fontId="0" fillId="0" borderId="4" xfId="0" applyNumberFormat="1" applyFont="1" applyBorder="1" applyAlignment="1">
      <alignment horizontal="center" vertical="center" wrapText="1"/>
    </xf>
    <xf numFmtId="0" fontId="8" fillId="9" borderId="4" xfId="0" applyNumberFormat="1" applyFont="1" applyFill="1" applyBorder="1" applyAlignment="1">
      <alignment horizontal="left" vertical="center" wrapText="1"/>
    </xf>
    <xf numFmtId="49" fontId="8" fillId="0" borderId="4" xfId="0" applyNumberFormat="1" applyFont="1" applyBorder="1" applyAlignment="1">
      <alignment horizontal="left" vertical="center" wrapText="1"/>
    </xf>
    <xf numFmtId="49" fontId="8" fillId="0" borderId="4" xfId="0" applyNumberFormat="1" applyFont="1" applyBorder="1" applyAlignment="1">
      <alignment horizontal="center" vertical="center" wrapText="1"/>
    </xf>
    <xf numFmtId="0" fontId="44" fillId="22" borderId="0" xfId="0" applyNumberFormat="1" applyFont="1" applyFill="1" applyAlignment="1">
      <alignment horizontal="left" vertical="center"/>
    </xf>
    <xf numFmtId="49" fontId="8" fillId="0" borderId="11" xfId="0" applyNumberFormat="1" applyFont="1" applyBorder="1" applyAlignment="1">
      <alignment horizontal="center" vertical="center" wrapText="1"/>
    </xf>
    <xf numFmtId="49" fontId="0" fillId="0" borderId="11" xfId="0" applyNumberFormat="1" applyFont="1" applyBorder="1" applyAlignment="1">
      <alignment horizontal="left" vertical="center" wrapText="1"/>
    </xf>
    <xf numFmtId="49" fontId="8" fillId="0" borderId="12" xfId="0" applyNumberFormat="1" applyFont="1" applyBorder="1" applyAlignment="1">
      <alignment horizontal="left" vertical="center" wrapText="1"/>
    </xf>
    <xf numFmtId="0" fontId="33" fillId="0" borderId="0" xfId="0" applyNumberFormat="1" applyFont="1" applyAlignment="1">
      <alignment horizontal="left" vertical="center"/>
    </xf>
    <xf numFmtId="0" fontId="33" fillId="0" borderId="16" xfId="0" applyNumberFormat="1" applyFont="1" applyBorder="1" applyAlignment="1">
      <alignment horizontal="left" vertical="center"/>
    </xf>
    <xf numFmtId="49" fontId="8" fillId="0" borderId="0" xfId="0" applyNumberFormat="1" applyFont="1" applyAlignment="1">
      <alignment horizontal="center" vertical="center" wrapText="1"/>
    </xf>
    <xf numFmtId="0" fontId="33" fillId="0" borderId="19" xfId="0" applyNumberFormat="1" applyFont="1" applyBorder="1" applyAlignment="1">
      <alignment horizontal="left" vertical="center"/>
    </xf>
    <xf numFmtId="0" fontId="33" fillId="0" borderId="20" xfId="0" applyNumberFormat="1" applyFont="1" applyBorder="1" applyAlignment="1">
      <alignment horizontal="left" vertical="center"/>
    </xf>
    <xf numFmtId="0" fontId="0" fillId="0" borderId="20" xfId="0" applyNumberFormat="1" applyFont="1" applyBorder="1" applyAlignment="1">
      <alignment vertical="center"/>
    </xf>
    <xf numFmtId="0" fontId="33" fillId="0" borderId="22" xfId="0" applyNumberFormat="1" applyFont="1" applyBorder="1" applyAlignment="1">
      <alignment horizontal="left" vertical="center"/>
    </xf>
    <xf numFmtId="49" fontId="8" fillId="0" borderId="0" xfId="0" applyNumberFormat="1" applyFont="1" applyAlignment="1">
      <alignment vertical="center" wrapText="1"/>
    </xf>
    <xf numFmtId="49" fontId="0" fillId="14" borderId="4" xfId="0" applyNumberFormat="1" applyFont="1" applyFill="1" applyBorder="1" applyAlignment="1" applyProtection="1">
      <alignment horizontal="left" vertical="center" wrapText="1"/>
      <protection locked="0"/>
    </xf>
    <xf numFmtId="0" fontId="8" fillId="0" borderId="0" xfId="0" applyNumberFormat="1" applyFont="1" applyAlignment="1">
      <alignment horizontal="center" vertical="center" wrapText="1"/>
    </xf>
    <xf numFmtId="0" fontId="40" fillId="0" borderId="0" xfId="0" applyNumberFormat="1" applyFont="1" applyAlignment="1">
      <alignment horizontal="center" vertical="center" wrapText="1"/>
    </xf>
    <xf numFmtId="49" fontId="8" fillId="0" borderId="4" xfId="0" applyNumberFormat="1" applyFont="1" applyBorder="1" applyAlignment="1">
      <alignment horizontal="left" vertical="center" wrapText="1"/>
    </xf>
    <xf numFmtId="0" fontId="38" fillId="0" borderId="9" xfId="0" applyNumberFormat="1" applyFont="1" applyBorder="1" applyAlignment="1">
      <alignment vertical="top" wrapText="1"/>
    </xf>
    <xf numFmtId="0" fontId="8" fillId="9" borderId="4" xfId="0" applyNumberFormat="1" applyFont="1" applyFill="1" applyBorder="1" applyAlignment="1">
      <alignment horizontal="left" vertical="center" wrapText="1"/>
    </xf>
    <xf numFmtId="0" fontId="8" fillId="0" borderId="0" xfId="0" applyNumberFormat="1" applyFont="1" applyAlignment="1">
      <alignment horizontal="center" vertical="center"/>
    </xf>
    <xf numFmtId="49" fontId="8" fillId="0" borderId="0" xfId="0" applyNumberFormat="1" applyFont="1" applyAlignment="1">
      <alignment vertical="center" wrapText="1"/>
    </xf>
    <xf numFmtId="0" fontId="70" fillId="9" borderId="11" xfId="0" applyNumberFormat="1" applyFont="1" applyFill="1" applyBorder="1" applyAlignment="1">
      <alignment horizontal="center" vertical="center" wrapText="1"/>
    </xf>
    <xf numFmtId="0" fontId="0" fillId="0" borderId="4" xfId="0" applyNumberFormat="1" applyFont="1" applyBorder="1" applyAlignment="1">
      <alignment horizontal="center" vertical="center" wrapText="1"/>
    </xf>
    <xf numFmtId="0" fontId="40" fillId="0" borderId="0" xfId="0" applyNumberFormat="1" applyFont="1" applyAlignment="1">
      <alignment horizontal="left" vertical="center" indent="1"/>
    </xf>
    <xf numFmtId="0" fontId="40" fillId="0" borderId="0" xfId="0" applyNumberFormat="1" applyFont="1" applyAlignment="1">
      <alignment horizontal="left" vertical="center" wrapText="1"/>
    </xf>
    <xf numFmtId="49" fontId="40" fillId="0" borderId="0" xfId="0" applyNumberFormat="1" applyFont="1">
      <alignment vertical="top"/>
    </xf>
    <xf numFmtId="49" fontId="98" fillId="0" borderId="0" xfId="0" applyNumberFormat="1" applyFont="1">
      <alignment vertical="top"/>
    </xf>
    <xf numFmtId="49" fontId="87" fillId="0" borderId="11" xfId="0" applyNumberFormat="1" applyFont="1" applyBorder="1" applyAlignment="1">
      <alignment horizontal="left" vertical="center"/>
    </xf>
    <xf numFmtId="49" fontId="40" fillId="0" borderId="11" xfId="0" applyNumberFormat="1" applyFont="1" applyBorder="1" applyAlignment="1">
      <alignment horizontal="left" vertical="center" indent="3"/>
    </xf>
    <xf numFmtId="49" fontId="40" fillId="0" borderId="11" xfId="0" applyNumberFormat="1" applyFont="1" applyBorder="1" applyAlignment="1">
      <alignment horizontal="center" vertical="center" wrapText="1"/>
    </xf>
    <xf numFmtId="49" fontId="40" fillId="0" borderId="0" xfId="0" applyNumberFormat="1" applyFont="1" applyAlignment="1">
      <alignment horizontal="left" vertical="center"/>
    </xf>
    <xf numFmtId="49" fontId="87" fillId="0" borderId="0" xfId="0" applyNumberFormat="1" applyFont="1" applyAlignment="1">
      <alignment horizontal="left" vertical="center"/>
    </xf>
    <xf numFmtId="49" fontId="40" fillId="0" borderId="0" xfId="0" applyNumberFormat="1" applyFont="1" applyAlignment="1">
      <alignment horizontal="left" vertical="center" indent="2"/>
    </xf>
    <xf numFmtId="49" fontId="40" fillId="0" borderId="0" xfId="0" applyNumberFormat="1" applyFont="1" applyAlignment="1">
      <alignment horizontal="center" vertical="center" wrapText="1"/>
    </xf>
    <xf numFmtId="49" fontId="40" fillId="0" borderId="0" xfId="0" applyNumberFormat="1" applyFont="1" applyAlignment="1">
      <alignment horizontal="left" vertical="center" indent="1"/>
    </xf>
    <xf numFmtId="0" fontId="8" fillId="0" borderId="0" xfId="0" applyNumberFormat="1" applyFont="1" applyAlignment="1">
      <alignment horizontal="center" vertical="center" wrapText="1"/>
    </xf>
    <xf numFmtId="49" fontId="8" fillId="0" borderId="0" xfId="0" applyNumberFormat="1" applyFont="1" applyAlignment="1">
      <alignment vertical="center" wrapText="1"/>
    </xf>
    <xf numFmtId="0" fontId="39" fillId="0" borderId="0" xfId="0" applyNumberFormat="1" applyFont="1" applyAlignment="1">
      <alignment horizontal="center" vertical="center" wrapText="1"/>
    </xf>
    <xf numFmtId="0" fontId="8" fillId="9" borderId="4" xfId="0" applyNumberFormat="1" applyFont="1" applyFill="1" applyBorder="1" applyAlignment="1">
      <alignment horizontal="center" vertical="center" wrapText="1"/>
    </xf>
    <xf numFmtId="0" fontId="40" fillId="0" borderId="0" xfId="0" applyNumberFormat="1" applyFont="1" applyAlignment="1">
      <alignment horizontal="center" vertical="center" wrapText="1"/>
    </xf>
    <xf numFmtId="0" fontId="8" fillId="0" borderId="0" xfId="0" applyNumberFormat="1" applyFont="1" applyAlignment="1">
      <alignment horizontal="center" vertical="center" wrapText="1"/>
    </xf>
    <xf numFmtId="0" fontId="8" fillId="0" borderId="0" xfId="0" applyNumberFormat="1" applyFont="1" applyAlignment="1">
      <alignment horizontal="left" vertical="top" wrapText="1"/>
    </xf>
    <xf numFmtId="0" fontId="0" fillId="0" borderId="5" xfId="0" applyNumberFormat="1" applyFont="1" applyBorder="1" applyAlignment="1">
      <alignment horizontal="center" vertical="center" wrapText="1"/>
    </xf>
    <xf numFmtId="0" fontId="70" fillId="9" borderId="11" xfId="0" applyNumberFormat="1" applyFont="1" applyFill="1" applyBorder="1" applyAlignment="1">
      <alignment horizontal="center" vertical="center" wrapText="1"/>
    </xf>
    <xf numFmtId="0" fontId="8" fillId="9" borderId="4" xfId="0" applyNumberFormat="1" applyFont="1" applyFill="1" applyBorder="1" applyAlignment="1">
      <alignment horizontal="left" vertical="center" wrapText="1"/>
    </xf>
    <xf numFmtId="49" fontId="8" fillId="9" borderId="4" xfId="0" applyNumberFormat="1" applyFont="1" applyFill="1" applyBorder="1" applyAlignment="1">
      <alignment horizontal="center" vertical="center" wrapText="1"/>
    </xf>
    <xf numFmtId="0" fontId="0" fillId="0" borderId="4" xfId="0" applyNumberFormat="1" applyFont="1" applyBorder="1" applyAlignment="1">
      <alignment horizontal="center" vertical="center" wrapText="1"/>
    </xf>
    <xf numFmtId="0" fontId="40" fillId="0" borderId="0" xfId="0" applyNumberFormat="1" applyFont="1" applyAlignment="1">
      <alignment horizontal="center" vertical="center"/>
    </xf>
    <xf numFmtId="0" fontId="8" fillId="0" borderId="0" xfId="0" applyNumberFormat="1" applyFont="1" applyAlignment="1">
      <alignment horizontal="right" vertical="center" wrapText="1"/>
    </xf>
    <xf numFmtId="0" fontId="70" fillId="9" borderId="0" xfId="0" applyNumberFormat="1" applyFont="1" applyFill="1" applyAlignment="1">
      <alignment horizontal="center" vertical="center" wrapText="1"/>
    </xf>
    <xf numFmtId="49" fontId="8" fillId="0" borderId="4" xfId="0" applyNumberFormat="1" applyFont="1" applyBorder="1" applyAlignment="1">
      <alignment horizontal="left" vertical="center" wrapText="1"/>
    </xf>
    <xf numFmtId="0" fontId="40" fillId="0" borderId="0" xfId="0" applyNumberFormat="1" applyFont="1" applyAlignment="1">
      <alignment horizontal="left" vertical="center" indent="1"/>
    </xf>
    <xf numFmtId="49" fontId="98" fillId="0" borderId="0" xfId="0" applyNumberFormat="1" applyFont="1">
      <alignment vertical="top"/>
    </xf>
    <xf numFmtId="49" fontId="8" fillId="0" borderId="4" xfId="0" applyNumberFormat="1" applyFont="1" applyBorder="1" applyAlignment="1">
      <alignment vertical="center" wrapText="1"/>
    </xf>
    <xf numFmtId="0" fontId="40" fillId="0" borderId="0" xfId="0" applyNumberFormat="1" applyFont="1" applyAlignment="1">
      <alignment horizontal="center" vertical="center"/>
    </xf>
    <xf numFmtId="0" fontId="8" fillId="15" borderId="4" xfId="0" applyNumberFormat="1" applyFont="1" applyFill="1" applyBorder="1" applyAlignment="1">
      <alignment horizontal="left" vertical="center" wrapText="1" indent="6"/>
    </xf>
    <xf numFmtId="49" fontId="0" fillId="0" borderId="0" xfId="0" applyNumberFormat="1" applyFont="1">
      <alignment vertical="top"/>
    </xf>
    <xf numFmtId="0" fontId="0" fillId="0" borderId="0" xfId="0" applyNumberFormat="1" applyFont="1" applyAlignment="1">
      <alignment vertical="center"/>
    </xf>
    <xf numFmtId="0" fontId="8" fillId="0" borderId="9" xfId="0" applyNumberFormat="1" applyFont="1" applyBorder="1" applyAlignment="1">
      <alignment horizontal="center" vertical="center" wrapText="1"/>
    </xf>
    <xf numFmtId="0" fontId="70" fillId="9" borderId="11" xfId="0" applyNumberFormat="1" applyFont="1" applyFill="1" applyBorder="1" applyAlignment="1">
      <alignment horizontal="center" vertical="center" wrapText="1"/>
    </xf>
    <xf numFmtId="0" fontId="40" fillId="0" borderId="0" xfId="0" applyNumberFormat="1" applyFont="1" applyAlignment="1">
      <alignment horizontal="center" vertical="center" wrapText="1"/>
    </xf>
    <xf numFmtId="0" fontId="8" fillId="0" borderId="0" xfId="0" applyNumberFormat="1" applyFont="1" applyAlignment="1">
      <alignment horizontal="right" vertical="center" wrapText="1"/>
    </xf>
    <xf numFmtId="0" fontId="8" fillId="0" borderId="0" xfId="0" applyNumberFormat="1" applyFont="1" applyAlignment="1">
      <alignment horizontal="center" vertical="center" wrapText="1"/>
    </xf>
    <xf numFmtId="0" fontId="0" fillId="0" borderId="4" xfId="0" applyNumberFormat="1" applyFont="1" applyBorder="1" applyAlignment="1">
      <alignment horizontal="center" vertical="center" wrapText="1"/>
    </xf>
    <xf numFmtId="0" fontId="8" fillId="9" borderId="4" xfId="0" applyNumberFormat="1" applyFont="1" applyFill="1" applyBorder="1" applyAlignment="1">
      <alignment horizontal="left" vertical="center" wrapText="1"/>
    </xf>
    <xf numFmtId="49" fontId="8" fillId="0" borderId="4" xfId="0" applyNumberFormat="1" applyFont="1" applyBorder="1" applyAlignment="1">
      <alignment horizontal="left" vertical="center" wrapText="1"/>
    </xf>
    <xf numFmtId="49" fontId="39" fillId="0" borderId="0" xfId="0" applyNumberFormat="1" applyFont="1" applyAlignment="1">
      <alignment vertical="center" wrapText="1"/>
    </xf>
    <xf numFmtId="0" fontId="39" fillId="0" borderId="0" xfId="0" applyNumberFormat="1" applyFont="1" applyAlignment="1">
      <alignment horizontal="left" vertical="center" indent="1"/>
    </xf>
    <xf numFmtId="0" fontId="39" fillId="0" borderId="0" xfId="0" applyNumberFormat="1" applyFont="1" applyAlignment="1">
      <alignment horizontal="center" vertical="center"/>
    </xf>
    <xf numFmtId="0" fontId="39" fillId="0" borderId="0" xfId="0" applyNumberFormat="1" applyFont="1" applyAlignment="1">
      <alignment horizontal="left" vertical="center" wrapText="1"/>
    </xf>
    <xf numFmtId="0" fontId="39" fillId="0" borderId="0" xfId="0" applyNumberFormat="1" applyFont="1" applyAlignment="1">
      <alignment vertical="center" wrapText="1"/>
    </xf>
    <xf numFmtId="49" fontId="39" fillId="0" borderId="4" xfId="0" applyNumberFormat="1" applyFont="1" applyBorder="1" applyAlignment="1">
      <alignment vertical="center" wrapText="1"/>
    </xf>
    <xf numFmtId="0" fontId="39" fillId="0" borderId="0" xfId="0" applyNumberFormat="1" applyFont="1" applyAlignment="1">
      <alignment vertical="center"/>
    </xf>
    <xf numFmtId="0" fontId="39" fillId="0" borderId="0" xfId="0" applyNumberFormat="1" applyFont="1" applyAlignment="1">
      <alignment horizontal="center" vertical="center"/>
    </xf>
    <xf numFmtId="0" fontId="39" fillId="0" borderId="0" xfId="0" applyNumberFormat="1" applyFont="1" applyAlignment="1">
      <alignment vertical="center"/>
    </xf>
    <xf numFmtId="0" fontId="59" fillId="0" borderId="0" xfId="0" applyNumberFormat="1" applyFont="1" applyAlignment="1">
      <alignment vertical="center" wrapText="1"/>
    </xf>
    <xf numFmtId="0" fontId="0" fillId="0" borderId="7" xfId="0" applyNumberFormat="1" applyFont="1" applyBorder="1" applyAlignment="1">
      <alignment vertical="center"/>
    </xf>
    <xf numFmtId="0" fontId="40" fillId="0" borderId="4" xfId="0" applyNumberFormat="1" applyFont="1" applyBorder="1" applyAlignment="1">
      <alignment horizontal="center" vertical="center" wrapText="1"/>
    </xf>
    <xf numFmtId="0" fontId="63" fillId="0" borderId="0" xfId="0" applyNumberFormat="1" applyFont="1" applyAlignment="1">
      <alignment horizontal="left" vertical="center" indent="1"/>
    </xf>
    <xf numFmtId="0" fontId="63" fillId="0" borderId="0" xfId="0" applyNumberFormat="1" applyFont="1" applyAlignment="1">
      <alignment horizontal="left" vertical="center" indent="1"/>
    </xf>
    <xf numFmtId="0" fontId="40" fillId="0" borderId="4" xfId="0" applyNumberFormat="1" applyFont="1" applyBorder="1" applyAlignment="1">
      <alignment vertical="center" wrapText="1"/>
    </xf>
    <xf numFmtId="0" fontId="63" fillId="0" borderId="0" xfId="0" applyNumberFormat="1" applyFont="1" applyAlignment="1">
      <alignment horizontal="center" vertical="center"/>
    </xf>
    <xf numFmtId="0" fontId="63" fillId="0" borderId="0" xfId="0" applyNumberFormat="1" applyFont="1" applyAlignment="1">
      <alignment horizontal="left" vertical="center" wrapText="1"/>
    </xf>
    <xf numFmtId="49" fontId="63" fillId="0" borderId="0" xfId="0" applyNumberFormat="1" applyFont="1" applyAlignment="1">
      <alignment horizontal="left" vertical="center"/>
    </xf>
    <xf numFmtId="0" fontId="8" fillId="0" borderId="0" xfId="0" applyNumberFormat="1" applyFont="1" applyAlignment="1">
      <alignment horizontal="center" vertical="center"/>
    </xf>
    <xf numFmtId="0" fontId="63" fillId="0" borderId="0" xfId="0" applyNumberFormat="1" applyFont="1" applyAlignment="1">
      <alignment horizontal="center" vertical="center"/>
    </xf>
    <xf numFmtId="0" fontId="40" fillId="0" borderId="4" xfId="0" applyNumberFormat="1" applyFont="1" applyBorder="1" applyAlignment="1">
      <alignment horizontal="left" vertical="center" wrapText="1" indent="4"/>
    </xf>
    <xf numFmtId="0" fontId="40" fillId="0" borderId="4" xfId="0" applyNumberFormat="1" applyFont="1" applyBorder="1" applyAlignment="1">
      <alignment horizontal="left" vertical="center" wrapText="1" indent="6"/>
    </xf>
    <xf numFmtId="0" fontId="40" fillId="0" borderId="4" xfId="0" applyNumberFormat="1" applyFont="1" applyBorder="1" applyAlignment="1">
      <alignment vertical="top" wrapText="1"/>
    </xf>
    <xf numFmtId="49" fontId="87" fillId="0" borderId="6" xfId="0" applyNumberFormat="1" applyFont="1" applyBorder="1" applyAlignment="1">
      <alignment horizontal="left" vertical="center"/>
    </xf>
    <xf numFmtId="49" fontId="40" fillId="0" borderId="7" xfId="0" applyNumberFormat="1" applyFont="1" applyBorder="1" applyAlignment="1">
      <alignment horizontal="left" vertical="center" indent="4"/>
    </xf>
    <xf numFmtId="49" fontId="40" fillId="0" borderId="7" xfId="0" applyNumberFormat="1" applyFont="1" applyBorder="1" applyAlignment="1">
      <alignment horizontal="center" vertical="center" wrapText="1"/>
    </xf>
    <xf numFmtId="49" fontId="40" fillId="0" borderId="5" xfId="0" applyNumberFormat="1" applyFont="1" applyBorder="1" applyAlignment="1">
      <alignment horizontal="center" vertical="center" wrapText="1"/>
    </xf>
    <xf numFmtId="0" fontId="8" fillId="6" borderId="4" xfId="0" applyNumberFormat="1" applyFont="1" applyFill="1" applyBorder="1" applyAlignment="1" applyProtection="1">
      <alignment horizontal="left" vertical="center" wrapText="1" indent="7"/>
      <protection locked="0"/>
    </xf>
    <xf numFmtId="0" fontId="8" fillId="13" borderId="7" xfId="0" applyNumberFormat="1" applyFont="1" applyFill="1" applyBorder="1" applyAlignment="1">
      <alignment horizontal="left" vertical="center" wrapText="1" indent="6"/>
    </xf>
    <xf numFmtId="0" fontId="8" fillId="15" borderId="4" xfId="0" applyNumberFormat="1" applyFont="1" applyFill="1" applyBorder="1" applyAlignment="1">
      <alignment horizontal="left" vertical="center" wrapText="1" indent="1"/>
    </xf>
    <xf numFmtId="0" fontId="40" fillId="0" borderId="4" xfId="0" applyNumberFormat="1" applyFont="1" applyBorder="1" applyAlignment="1">
      <alignment horizontal="left" vertical="center" wrapText="1" indent="5"/>
    </xf>
    <xf numFmtId="49" fontId="63" fillId="0" borderId="16" xfId="0" applyNumberFormat="1" applyFont="1" applyBorder="1">
      <alignment vertical="top"/>
    </xf>
    <xf numFmtId="49" fontId="40" fillId="0" borderId="16" xfId="0" applyNumberFormat="1" applyFont="1" applyBorder="1">
      <alignment vertical="top"/>
    </xf>
    <xf numFmtId="0" fontId="8" fillId="0" borderId="4" xfId="0" applyNumberFormat="1" applyFont="1" applyBorder="1" applyAlignment="1">
      <alignment horizontal="left" vertical="center" wrapText="1" indent="1"/>
    </xf>
    <xf numFmtId="49" fontId="40" fillId="0" borderId="4" xfId="0" applyNumberFormat="1" applyFont="1" applyBorder="1" applyAlignment="1">
      <alignment horizontal="center" vertical="center" wrapText="1"/>
    </xf>
    <xf numFmtId="49" fontId="8" fillId="13" borderId="20" xfId="0" applyNumberFormat="1" applyFont="1" applyFill="1" applyBorder="1" applyAlignment="1">
      <alignment horizontal="center" vertical="center" wrapText="1"/>
    </xf>
    <xf numFmtId="49" fontId="39" fillId="0" borderId="0" xfId="0" applyNumberFormat="1" applyFont="1" applyAlignment="1">
      <alignment vertical="center" wrapText="1"/>
    </xf>
    <xf numFmtId="0" fontId="39" fillId="0" borderId="0" xfId="0" applyNumberFormat="1" applyFont="1" applyAlignment="1">
      <alignment horizontal="center" vertical="center" wrapText="1"/>
    </xf>
    <xf numFmtId="0" fontId="46" fillId="9" borderId="0" xfId="0" applyNumberFormat="1" applyFont="1" applyFill="1" applyAlignment="1">
      <alignment horizontal="center" vertical="center" wrapText="1"/>
    </xf>
    <xf numFmtId="0" fontId="46" fillId="0" borderId="0" xfId="0" applyNumberFormat="1" applyFont="1" applyAlignment="1">
      <alignment vertical="center" wrapText="1"/>
    </xf>
    <xf numFmtId="0" fontId="40" fillId="0" borderId="0" xfId="0" applyNumberFormat="1" applyFont="1" applyAlignment="1">
      <alignment vertical="center"/>
    </xf>
    <xf numFmtId="0" fontId="41" fillId="0" borderId="0" xfId="0" applyNumberFormat="1" applyFont="1" applyAlignment="1">
      <alignment vertical="center"/>
    </xf>
    <xf numFmtId="0" fontId="40" fillId="0" borderId="0" xfId="0" applyNumberFormat="1" applyFont="1" applyAlignment="1">
      <alignment vertical="center"/>
    </xf>
    <xf numFmtId="0" fontId="40" fillId="0" borderId="0" xfId="0" applyNumberFormat="1" applyFont="1" applyAlignment="1">
      <alignment vertical="center"/>
    </xf>
    <xf numFmtId="49" fontId="8" fillId="0" borderId="0" xfId="0" applyNumberFormat="1" applyFont="1" applyAlignment="1">
      <alignment horizontal="center" vertical="center" wrapText="1"/>
    </xf>
    <xf numFmtId="49" fontId="0" fillId="0" borderId="11" xfId="0" applyNumberFormat="1" applyFont="1" applyBorder="1" applyAlignment="1">
      <alignment horizontal="left" vertical="center" wrapText="1"/>
    </xf>
    <xf numFmtId="49" fontId="8" fillId="0" borderId="11" xfId="0" applyNumberFormat="1" applyFont="1" applyBorder="1" applyAlignment="1">
      <alignment horizontal="center" vertical="center" wrapText="1"/>
    </xf>
    <xf numFmtId="0" fontId="39" fillId="0" borderId="0" xfId="0" applyNumberFormat="1" applyFont="1" applyAlignment="1">
      <alignment horizontal="center" vertical="center" wrapText="1"/>
    </xf>
    <xf numFmtId="0" fontId="40" fillId="0" borderId="0" xfId="0" applyNumberFormat="1" applyFont="1" applyAlignment="1">
      <alignment horizontal="center" vertical="center" wrapText="1"/>
    </xf>
    <xf numFmtId="0" fontId="8" fillId="0" borderId="0" xfId="0" applyNumberFormat="1" applyFont="1" applyAlignment="1">
      <alignment horizontal="center" vertical="center" wrapText="1"/>
    </xf>
    <xf numFmtId="49" fontId="8" fillId="0" borderId="4" xfId="0" applyNumberFormat="1" applyFont="1" applyBorder="1" applyAlignment="1">
      <alignment horizontal="left" vertical="center" wrapText="1"/>
    </xf>
    <xf numFmtId="0" fontId="8" fillId="9" borderId="4" xfId="0" applyNumberFormat="1" applyFont="1" applyFill="1" applyBorder="1" applyAlignment="1">
      <alignment horizontal="left" vertical="center" wrapText="1"/>
    </xf>
    <xf numFmtId="0" fontId="40" fillId="0" borderId="0" xfId="0" applyNumberFormat="1" applyFont="1" applyAlignment="1">
      <alignment horizontal="center" vertical="center"/>
    </xf>
    <xf numFmtId="49" fontId="8" fillId="0" borderId="0" xfId="0" applyNumberFormat="1" applyFont="1" applyAlignment="1">
      <alignment horizontal="center" vertical="top"/>
    </xf>
    <xf numFmtId="49" fontId="25" fillId="0" borderId="0" xfId="0" applyNumberFormat="1" applyFont="1" applyAlignment="1">
      <alignment horizontal="center" vertical="center"/>
    </xf>
    <xf numFmtId="0" fontId="0" fillId="0" borderId="0" xfId="0" applyNumberFormat="1" applyFont="1" applyAlignment="1">
      <alignment horizontal="left" vertical="center"/>
    </xf>
    <xf numFmtId="0" fontId="44" fillId="0" borderId="0" xfId="0" applyNumberFormat="1" applyFont="1" applyAlignment="1">
      <alignment horizontal="left" vertical="center"/>
    </xf>
    <xf numFmtId="49" fontId="0" fillId="0" borderId="0" xfId="0" applyNumberFormat="1" applyFont="1" applyAlignment="1">
      <alignment vertical="center"/>
    </xf>
    <xf numFmtId="0" fontId="0" fillId="0" borderId="0" xfId="0" applyNumberFormat="1" applyFont="1" applyAlignment="1">
      <alignment horizontal="right" vertical="top"/>
    </xf>
    <xf numFmtId="0" fontId="33" fillId="13" borderId="22" xfId="0" applyNumberFormat="1" applyFont="1" applyFill="1" applyBorder="1" applyAlignment="1">
      <alignment horizontal="left" vertical="center"/>
    </xf>
    <xf numFmtId="49" fontId="40" fillId="0" borderId="6" xfId="0" applyNumberFormat="1" applyFont="1" applyBorder="1" applyAlignment="1">
      <alignment horizontal="left" vertical="center" wrapText="1"/>
    </xf>
    <xf numFmtId="0" fontId="40" fillId="0" borderId="6" xfId="0" applyNumberFormat="1" applyFont="1" applyBorder="1" applyAlignment="1">
      <alignment horizontal="left" vertical="center"/>
    </xf>
    <xf numFmtId="0" fontId="40" fillId="0" borderId="7" xfId="0" applyNumberFormat="1" applyFont="1" applyBorder="1" applyAlignment="1">
      <alignment horizontal="left" vertical="center"/>
    </xf>
    <xf numFmtId="49" fontId="8" fillId="6" borderId="4" xfId="0" applyNumberFormat="1" applyFont="1" applyFill="1" applyBorder="1" applyAlignment="1" applyProtection="1">
      <alignment horizontal="left" vertical="center" wrapText="1" indent="6"/>
      <protection locked="0"/>
    </xf>
    <xf numFmtId="49" fontId="0" fillId="13" borderId="22" xfId="0" applyNumberFormat="1" applyFont="1" applyFill="1" applyBorder="1" applyAlignment="1">
      <alignment horizontal="center" vertical="center" wrapText="1"/>
    </xf>
    <xf numFmtId="0" fontId="101" fillId="0" borderId="0" xfId="0" applyNumberFormat="1" applyFont="1" applyAlignment="1">
      <alignment vertical="center" wrapText="1"/>
    </xf>
    <xf numFmtId="49" fontId="8" fillId="0" borderId="11" xfId="0" applyNumberFormat="1" applyFont="1" applyBorder="1" applyAlignment="1">
      <alignment horizontal="center" vertical="center" wrapText="1"/>
    </xf>
    <xf numFmtId="49" fontId="8" fillId="0" borderId="0" xfId="0" applyNumberFormat="1" applyFont="1" applyAlignment="1">
      <alignment horizontal="center" vertical="center" wrapText="1"/>
    </xf>
    <xf numFmtId="49" fontId="0" fillId="0" borderId="11" xfId="0" applyNumberFormat="1" applyFont="1" applyBorder="1" applyAlignment="1">
      <alignment horizontal="left" vertical="center" wrapText="1"/>
    </xf>
    <xf numFmtId="0" fontId="39" fillId="0" borderId="0" xfId="0" applyNumberFormat="1" applyFont="1" applyAlignment="1">
      <alignment horizontal="center" vertical="center" wrapText="1"/>
    </xf>
    <xf numFmtId="0" fontId="8" fillId="9" borderId="4" xfId="0" applyNumberFormat="1" applyFont="1" applyFill="1" applyBorder="1" applyAlignment="1">
      <alignment horizontal="center" vertical="center" wrapText="1"/>
    </xf>
    <xf numFmtId="0" fontId="8" fillId="0" borderId="0" xfId="0" applyNumberFormat="1" applyFont="1" applyAlignment="1">
      <alignment horizontal="left" vertical="top" wrapText="1"/>
    </xf>
    <xf numFmtId="0" fontId="40" fillId="0" borderId="0" xfId="0" applyNumberFormat="1" applyFont="1" applyAlignment="1">
      <alignment horizontal="center" vertical="center" wrapText="1"/>
    </xf>
    <xf numFmtId="0" fontId="70" fillId="9" borderId="11" xfId="0" applyNumberFormat="1" applyFont="1" applyFill="1" applyBorder="1" applyAlignment="1">
      <alignment horizontal="center" vertical="center" wrapText="1"/>
    </xf>
    <xf numFmtId="0" fontId="8" fillId="0" borderId="9" xfId="0" applyNumberFormat="1" applyFont="1" applyBorder="1" applyAlignment="1">
      <alignment horizontal="center" vertical="center" wrapText="1"/>
    </xf>
    <xf numFmtId="0" fontId="8" fillId="0" borderId="0" xfId="0" applyNumberFormat="1" applyFont="1" applyAlignment="1">
      <alignment horizontal="center" vertical="center" wrapText="1"/>
    </xf>
    <xf numFmtId="0" fontId="8" fillId="0" borderId="0" xfId="0" applyNumberFormat="1" applyFont="1" applyAlignment="1">
      <alignment horizontal="right" vertical="center" wrapText="1"/>
    </xf>
    <xf numFmtId="0" fontId="0" fillId="0" borderId="4" xfId="0" applyNumberFormat="1" applyFont="1" applyBorder="1" applyAlignment="1">
      <alignment horizontal="center" vertical="center" wrapText="1"/>
    </xf>
    <xf numFmtId="49" fontId="8" fillId="0" borderId="4" xfId="0" applyNumberFormat="1" applyFont="1" applyBorder="1" applyAlignment="1">
      <alignment horizontal="left" vertical="center" wrapText="1"/>
    </xf>
    <xf numFmtId="0" fontId="8" fillId="9" borderId="4" xfId="0" applyNumberFormat="1" applyFont="1" applyFill="1" applyBorder="1" applyAlignment="1">
      <alignment horizontal="left" vertical="center" wrapText="1"/>
    </xf>
    <xf numFmtId="0" fontId="40" fillId="0" borderId="0" xfId="0" applyNumberFormat="1" applyFont="1" applyAlignment="1">
      <alignment horizontal="center" vertical="center"/>
    </xf>
    <xf numFmtId="49" fontId="8" fillId="15" borderId="4" xfId="0" applyNumberFormat="1" applyFont="1" applyFill="1" applyBorder="1" applyAlignment="1">
      <alignment horizontal="center" vertical="center" wrapText="1"/>
    </xf>
    <xf numFmtId="49" fontId="40" fillId="0" borderId="4" xfId="0" applyNumberFormat="1" applyFont="1" applyBorder="1" applyAlignment="1">
      <alignment horizontal="center" vertical="center" wrapText="1"/>
    </xf>
    <xf numFmtId="0" fontId="40" fillId="0" borderId="0" xfId="0" applyNumberFormat="1" applyFont="1" applyAlignment="1">
      <alignment horizontal="center" vertical="center" wrapText="1"/>
    </xf>
    <xf numFmtId="49" fontId="8" fillId="9" borderId="4" xfId="0" applyNumberFormat="1" applyFont="1" applyFill="1" applyBorder="1" applyAlignment="1">
      <alignment horizontal="center" vertical="center" wrapText="1"/>
    </xf>
    <xf numFmtId="0" fontId="40" fillId="0" borderId="0" xfId="0" applyNumberFormat="1" applyFont="1" applyAlignment="1">
      <alignment horizontal="center" vertical="center"/>
    </xf>
    <xf numFmtId="0" fontId="8" fillId="9" borderId="4" xfId="0" applyNumberFormat="1" applyFont="1" applyFill="1" applyBorder="1" applyAlignment="1">
      <alignment horizontal="left" vertical="center" wrapText="1"/>
    </xf>
    <xf numFmtId="49" fontId="8" fillId="14" borderId="4" xfId="0" applyNumberFormat="1" applyFont="1" applyFill="1" applyBorder="1" applyAlignment="1" applyProtection="1">
      <alignment horizontal="left" vertical="center" wrapText="1" indent="1"/>
      <protection locked="0"/>
    </xf>
    <xf numFmtId="0" fontId="8" fillId="0" borderId="0" xfId="0" applyNumberFormat="1" applyFont="1" applyAlignment="1">
      <alignment horizontal="center" vertical="center" wrapText="1"/>
    </xf>
    <xf numFmtId="49" fontId="8" fillId="15" borderId="4" xfId="0" applyNumberFormat="1" applyFont="1" applyFill="1" applyBorder="1" applyAlignment="1">
      <alignment horizontal="center" vertical="center" wrapText="1"/>
    </xf>
    <xf numFmtId="49" fontId="8" fillId="0" borderId="11" xfId="0" applyNumberFormat="1" applyFont="1" applyBorder="1" applyAlignment="1">
      <alignment horizontal="center" vertical="center" wrapText="1"/>
    </xf>
    <xf numFmtId="49" fontId="8" fillId="0" borderId="0" xfId="0" applyNumberFormat="1" applyFont="1" applyAlignment="1">
      <alignment horizontal="center" vertical="center" wrapText="1"/>
    </xf>
    <xf numFmtId="49" fontId="0" fillId="0" borderId="11" xfId="0" applyNumberFormat="1" applyFont="1" applyBorder="1" applyAlignment="1">
      <alignment horizontal="left" vertical="center" wrapText="1"/>
    </xf>
    <xf numFmtId="49" fontId="8" fillId="9" borderId="4" xfId="34" applyNumberFormat="1" applyFont="1" applyFill="1" applyBorder="1" applyAlignment="1">
      <alignment horizontal="center" vertical="center" wrapText="1"/>
    </xf>
    <xf numFmtId="0" fontId="40" fillId="9" borderId="0" xfId="0" applyNumberFormat="1" applyFont="1" applyFill="1" applyAlignment="1">
      <alignment horizontal="center" vertical="center" wrapText="1"/>
    </xf>
    <xf numFmtId="0" fontId="0" fillId="9" borderId="4" xfId="0" applyNumberFormat="1" applyFont="1" applyFill="1" applyBorder="1" applyAlignment="1">
      <alignment horizontal="center" vertical="center" wrapText="1"/>
    </xf>
    <xf numFmtId="0" fontId="8" fillId="9" borderId="16" xfId="0" applyNumberFormat="1" applyFont="1" applyFill="1" applyBorder="1" applyAlignment="1">
      <alignment horizontal="center" vertical="center" wrapText="1"/>
    </xf>
    <xf numFmtId="0" fontId="39" fillId="0" borderId="0" xfId="0" applyNumberFormat="1" applyFont="1" applyAlignment="1">
      <alignment horizontal="center" vertical="center" wrapText="1"/>
    </xf>
    <xf numFmtId="0" fontId="8" fillId="9" borderId="4" xfId="0" applyNumberFormat="1" applyFont="1" applyFill="1" applyBorder="1" applyAlignment="1">
      <alignment horizontal="center" vertical="center" wrapText="1"/>
    </xf>
    <xf numFmtId="0" fontId="8" fillId="0" borderId="0" xfId="0" applyNumberFormat="1" applyFont="1" applyAlignment="1">
      <alignment horizontal="left" vertical="top" wrapText="1"/>
    </xf>
    <xf numFmtId="0" fontId="40" fillId="0" borderId="0" xfId="0" applyNumberFormat="1" applyFont="1" applyAlignment="1">
      <alignment horizontal="center" vertical="center" wrapText="1"/>
    </xf>
    <xf numFmtId="0" fontId="70" fillId="9" borderId="11" xfId="0" applyNumberFormat="1" applyFont="1" applyFill="1" applyBorder="1" applyAlignment="1">
      <alignment horizontal="center" vertical="center" wrapText="1"/>
    </xf>
    <xf numFmtId="0" fontId="8" fillId="0" borderId="9" xfId="0" applyNumberFormat="1" applyFont="1" applyBorder="1" applyAlignment="1">
      <alignment horizontal="center" vertical="center" wrapText="1"/>
    </xf>
    <xf numFmtId="0" fontId="8" fillId="0" borderId="4" xfId="0" applyNumberFormat="1" applyFont="1" applyBorder="1" applyAlignment="1">
      <alignment horizontal="center" vertical="center" wrapText="1"/>
    </xf>
    <xf numFmtId="49" fontId="40" fillId="0" borderId="4" xfId="0" applyNumberFormat="1" applyFont="1" applyBorder="1" applyAlignment="1">
      <alignment horizontal="center" vertical="center" wrapText="1"/>
    </xf>
    <xf numFmtId="49" fontId="8" fillId="9" borderId="4" xfId="0" applyNumberFormat="1" applyFont="1" applyFill="1" applyBorder="1" applyAlignment="1">
      <alignment horizontal="center" vertical="center" wrapText="1"/>
    </xf>
    <xf numFmtId="0" fontId="8" fillId="0" borderId="0" xfId="0" applyNumberFormat="1" applyFont="1" applyAlignment="1">
      <alignment horizontal="center" vertical="center" wrapText="1"/>
    </xf>
    <xf numFmtId="0" fontId="8" fillId="0" borderId="0" xfId="0" applyNumberFormat="1" applyFont="1" applyAlignment="1">
      <alignment horizontal="right" vertical="center" wrapText="1"/>
    </xf>
    <xf numFmtId="0" fontId="0" fillId="0" borderId="4" xfId="0" applyNumberFormat="1" applyFont="1" applyBorder="1" applyAlignment="1">
      <alignment horizontal="center" vertical="center" wrapText="1"/>
    </xf>
    <xf numFmtId="49" fontId="8" fillId="0" borderId="4" xfId="0" applyNumberFormat="1" applyFont="1" applyBorder="1" applyAlignment="1">
      <alignment horizontal="left" vertical="center" wrapText="1"/>
    </xf>
    <xf numFmtId="49" fontId="8" fillId="15" borderId="4" xfId="0" applyNumberFormat="1" applyFont="1" applyFill="1" applyBorder="1" applyAlignment="1">
      <alignment horizontal="left" vertical="center" wrapText="1"/>
    </xf>
    <xf numFmtId="49" fontId="8" fillId="14" borderId="4" xfId="0" applyNumberFormat="1" applyFont="1" applyFill="1" applyBorder="1" applyAlignment="1" applyProtection="1">
      <alignment horizontal="left" vertical="center" wrapText="1" indent="1"/>
      <protection locked="0"/>
    </xf>
    <xf numFmtId="0" fontId="8" fillId="9" borderId="4" xfId="0" applyNumberFormat="1" applyFont="1" applyFill="1" applyBorder="1" applyAlignment="1">
      <alignment horizontal="left" vertical="center" wrapText="1"/>
    </xf>
    <xf numFmtId="0" fontId="40" fillId="0" borderId="0" xfId="0" applyNumberFormat="1" applyFont="1" applyAlignment="1">
      <alignment horizontal="center" vertical="center"/>
    </xf>
    <xf numFmtId="0" fontId="30" fillId="0" borderId="0" xfId="0" applyNumberFormat="1" applyFont="1" applyAlignment="1">
      <alignment horizontal="center" vertical="center" wrapText="1"/>
    </xf>
    <xf numFmtId="0" fontId="102" fillId="0" borderId="0" xfId="0" applyNumberFormat="1" applyFont="1" applyAlignment="1">
      <alignment vertical="center" wrapText="1"/>
    </xf>
    <xf numFmtId="0" fontId="102" fillId="9" borderId="0" xfId="0" applyNumberFormat="1" applyFont="1" applyFill="1" applyAlignment="1">
      <alignment horizontal="center" vertical="center" wrapText="1"/>
    </xf>
    <xf numFmtId="0" fontId="40" fillId="9" borderId="4" xfId="0" applyNumberFormat="1" applyFont="1" applyFill="1" applyBorder="1" applyAlignment="1">
      <alignment horizontal="left" vertical="center" wrapText="1" indent="3"/>
    </xf>
    <xf numFmtId="49" fontId="33" fillId="13" borderId="20" xfId="0" applyNumberFormat="1" applyFont="1" applyFill="1" applyBorder="1" applyAlignment="1">
      <alignment horizontal="left" vertical="center"/>
    </xf>
    <xf numFmtId="0" fontId="102" fillId="0" borderId="0" xfId="0" applyNumberFormat="1" applyFont="1" applyAlignment="1">
      <alignment horizontal="center" vertical="center" wrapText="1"/>
    </xf>
    <xf numFmtId="49" fontId="40" fillId="0" borderId="0" xfId="0" applyNumberFormat="1" applyFont="1" applyAlignment="1">
      <alignment horizontal="left" vertical="center" wrapText="1" indent="1"/>
    </xf>
    <xf numFmtId="0" fontId="40" fillId="0" borderId="0" xfId="0" applyNumberFormat="1" applyFont="1" applyAlignment="1">
      <alignment horizontal="left" vertical="center" wrapText="1" indent="4"/>
    </xf>
    <xf numFmtId="0" fontId="40" fillId="0" borderId="0" xfId="0" applyNumberFormat="1" applyFont="1" applyAlignment="1">
      <alignment horizontal="left" vertical="center" wrapText="1" indent="1"/>
    </xf>
    <xf numFmtId="49" fontId="8" fillId="13" borderId="6" xfId="0" applyNumberFormat="1" applyFont="1" applyFill="1" applyBorder="1" applyAlignment="1">
      <alignment horizontal="center" vertical="center" wrapText="1"/>
    </xf>
    <xf numFmtId="0" fontId="40" fillId="0" borderId="16" xfId="0" applyNumberFormat="1" applyFont="1" applyBorder="1" applyAlignment="1">
      <alignment horizontal="left" vertical="center" wrapText="1" indent="1"/>
    </xf>
    <xf numFmtId="0" fontId="39" fillId="0" borderId="0" xfId="0" applyNumberFormat="1" applyFont="1" applyAlignment="1">
      <alignment horizontal="left" vertical="center"/>
    </xf>
    <xf numFmtId="49" fontId="39" fillId="0" borderId="0" xfId="0" applyNumberFormat="1" applyFont="1" applyAlignment="1">
      <alignment horizontal="left" vertical="center"/>
    </xf>
    <xf numFmtId="0" fontId="39" fillId="0" borderId="0" xfId="0" applyNumberFormat="1" applyFont="1" applyAlignment="1">
      <alignment horizontal="left" vertical="center"/>
    </xf>
    <xf numFmtId="0" fontId="59" fillId="0" borderId="0" xfId="0" applyNumberFormat="1" applyFont="1" applyAlignment="1">
      <alignment horizontal="left" vertical="center"/>
    </xf>
    <xf numFmtId="0" fontId="40" fillId="0" borderId="0" xfId="0" applyNumberFormat="1" applyFont="1" applyAlignment="1">
      <alignment horizontal="left" vertical="center"/>
    </xf>
    <xf numFmtId="49" fontId="0" fillId="0" borderId="0" xfId="0" applyNumberFormat="1" applyFont="1">
      <alignment vertical="top"/>
    </xf>
    <xf numFmtId="49" fontId="8" fillId="0" borderId="0" xfId="0" applyNumberFormat="1" applyFont="1" applyAlignment="1">
      <alignment horizontal="center" vertical="center" wrapText="1"/>
    </xf>
    <xf numFmtId="49" fontId="8" fillId="0" borderId="11" xfId="0" applyNumberFormat="1" applyFont="1" applyBorder="1" applyAlignment="1">
      <alignment horizontal="center" vertical="center" wrapText="1"/>
    </xf>
    <xf numFmtId="49" fontId="8" fillId="0" borderId="11" xfId="0" applyNumberFormat="1" applyFont="1" applyBorder="1" applyAlignment="1">
      <alignment horizontal="left" vertical="center" wrapText="1"/>
    </xf>
    <xf numFmtId="49" fontId="8" fillId="0" borderId="4" xfId="0" applyNumberFormat="1" applyFont="1" applyBorder="1" applyAlignment="1">
      <alignment horizontal="center" vertical="center" wrapText="1"/>
    </xf>
    <xf numFmtId="49" fontId="8" fillId="6" borderId="4" xfId="0" applyNumberFormat="1" applyFont="1" applyFill="1" applyBorder="1" applyAlignment="1" applyProtection="1">
      <alignment horizontal="left" vertical="center" wrapText="1"/>
      <protection locked="0"/>
    </xf>
    <xf numFmtId="0" fontId="30" fillId="0" borderId="0" xfId="0" applyNumberFormat="1" applyFont="1" applyAlignment="1">
      <alignment horizontal="center" vertical="center" wrapText="1"/>
    </xf>
    <xf numFmtId="0" fontId="30" fillId="9" borderId="0" xfId="0" applyNumberFormat="1" applyFont="1" applyFill="1" applyAlignment="1">
      <alignment horizontal="center" vertical="center" wrapText="1"/>
    </xf>
    <xf numFmtId="49" fontId="40" fillId="0" borderId="0" xfId="0" applyNumberFormat="1" applyFont="1" applyAlignment="1">
      <alignment horizontal="left" vertical="center" indent="1"/>
    </xf>
    <xf numFmtId="49" fontId="39" fillId="0" borderId="0" xfId="0" applyNumberFormat="1" applyFont="1" applyAlignment="1">
      <alignment horizontal="left" vertical="center"/>
    </xf>
    <xf numFmtId="49" fontId="39" fillId="0" borderId="0" xfId="0" applyNumberFormat="1" applyFont="1" applyAlignment="1">
      <alignment horizontal="left" vertical="center"/>
    </xf>
    <xf numFmtId="49" fontId="39" fillId="0" borderId="0" xfId="0" applyNumberFormat="1" applyFont="1" applyAlignment="1">
      <alignment horizontal="left" vertical="top"/>
    </xf>
    <xf numFmtId="49" fontId="8" fillId="9" borderId="4" xfId="34" applyNumberFormat="1" applyFont="1" applyFill="1" applyBorder="1" applyAlignment="1">
      <alignment horizontal="center" vertical="center"/>
    </xf>
    <xf numFmtId="0" fontId="8" fillId="0" borderId="4" xfId="0" applyNumberFormat="1" applyFont="1" applyBorder="1" applyAlignment="1">
      <alignment horizontal="center" vertical="center" wrapText="1"/>
    </xf>
    <xf numFmtId="0" fontId="8" fillId="9" borderId="4" xfId="0" applyNumberFormat="1" applyFont="1" applyFill="1" applyBorder="1" applyAlignment="1">
      <alignment horizontal="left" vertical="center" wrapText="1" indent="1"/>
    </xf>
    <xf numFmtId="49" fontId="8" fillId="0" borderId="4" xfId="34" applyNumberFormat="1" applyFont="1" applyBorder="1" applyAlignment="1">
      <alignment horizontal="center" vertical="center"/>
    </xf>
    <xf numFmtId="0" fontId="8" fillId="0" borderId="4" xfId="0" applyNumberFormat="1" applyFont="1" applyBorder="1" applyAlignment="1">
      <alignment horizontal="left" vertical="center" wrapText="1" indent="1"/>
    </xf>
    <xf numFmtId="0" fontId="8" fillId="0" borderId="4" xfId="0" applyNumberFormat="1" applyFont="1" applyBorder="1" applyAlignment="1">
      <alignment vertical="center" wrapText="1"/>
    </xf>
    <xf numFmtId="49" fontId="8" fillId="14" borderId="4" xfId="0" applyNumberFormat="1" applyFont="1" applyFill="1" applyBorder="1" applyAlignment="1" applyProtection="1">
      <alignment horizontal="left" vertical="center" wrapText="1"/>
      <protection locked="0"/>
    </xf>
    <xf numFmtId="0" fontId="8" fillId="9" borderId="4" xfId="0" applyNumberFormat="1" applyFont="1" applyFill="1" applyBorder="1" applyAlignment="1">
      <alignment horizontal="left" vertical="center" wrapText="1"/>
    </xf>
    <xf numFmtId="0" fontId="40" fillId="9" borderId="4" xfId="34" applyFont="1" applyFill="1" applyBorder="1" applyAlignment="1">
      <alignment horizontal="center" vertical="center"/>
    </xf>
    <xf numFmtId="0" fontId="63" fillId="9" borderId="0" xfId="0" applyNumberFormat="1" applyFont="1" applyFill="1" applyAlignment="1">
      <alignment vertical="center" wrapText="1"/>
    </xf>
    <xf numFmtId="49" fontId="8" fillId="6" borderId="4" xfId="0" applyNumberFormat="1" applyFont="1" applyFill="1" applyBorder="1" applyAlignment="1" applyProtection="1">
      <alignment horizontal="left" vertical="center" wrapText="1"/>
      <protection locked="0"/>
    </xf>
    <xf numFmtId="0" fontId="74" fillId="9" borderId="0" xfId="0" applyNumberFormat="1" applyFont="1" applyFill="1" applyAlignment="1"/>
    <xf numFmtId="0" fontId="58" fillId="9" borderId="0" xfId="0" applyNumberFormat="1" applyFont="1" applyFill="1" applyAlignment="1"/>
    <xf numFmtId="14" fontId="8" fillId="14" borderId="15" xfId="0" applyNumberFormat="1" applyFont="1" applyFill="1" applyBorder="1" applyAlignment="1" applyProtection="1">
      <alignment horizontal="left" vertical="center" wrapText="1" indent="1"/>
      <protection locked="0"/>
    </xf>
    <xf numFmtId="0" fontId="103" fillId="0" borderId="0" xfId="0" applyNumberFormat="1" applyFont="1" applyAlignment="1">
      <alignment vertical="center"/>
    </xf>
    <xf numFmtId="0" fontId="103" fillId="0" borderId="0" xfId="0" applyNumberFormat="1" applyFont="1" applyAlignment="1">
      <alignment vertical="center" wrapText="1"/>
    </xf>
    <xf numFmtId="169" fontId="8" fillId="0" borderId="15" xfId="0" applyNumberFormat="1" applyFont="1" applyBorder="1" applyAlignment="1">
      <alignment horizontal="center" vertical="center" wrapText="1"/>
    </xf>
    <xf numFmtId="14" fontId="8" fillId="14" borderId="4" xfId="0" applyNumberFormat="1" applyFont="1" applyFill="1" applyBorder="1" applyAlignment="1" applyProtection="1">
      <alignment horizontal="left" vertical="center" wrapText="1" indent="1"/>
      <protection locked="0"/>
    </xf>
    <xf numFmtId="0" fontId="8" fillId="11" borderId="15" xfId="0" applyNumberFormat="1" applyFont="1" applyFill="1" applyBorder="1" applyAlignment="1">
      <alignment horizontal="left" vertical="center" wrapText="1" indent="1"/>
    </xf>
    <xf numFmtId="169" fontId="8" fillId="0" borderId="9" xfId="0" applyNumberFormat="1" applyFont="1" applyBorder="1" applyAlignment="1">
      <alignment horizontal="center" vertical="center" wrapText="1"/>
    </xf>
    <xf numFmtId="49" fontId="19" fillId="13" borderId="19" xfId="0" applyNumberFormat="1" applyFont="1" applyFill="1" applyBorder="1" applyAlignment="1">
      <alignment horizontal="right" vertical="center" wrapText="1"/>
    </xf>
    <xf numFmtId="49" fontId="0" fillId="13" borderId="20" xfId="0" applyNumberFormat="1" applyFont="1" applyFill="1" applyBorder="1" applyAlignment="1">
      <alignment horizontal="right" vertical="center" wrapText="1"/>
    </xf>
    <xf numFmtId="49" fontId="0" fillId="13" borderId="4" xfId="0" applyNumberFormat="1" applyFont="1" applyFill="1" applyBorder="1" applyAlignment="1">
      <alignment horizontal="right" vertical="center" wrapText="1"/>
    </xf>
    <xf numFmtId="49" fontId="19" fillId="13" borderId="20" xfId="0" applyNumberFormat="1" applyFont="1" applyFill="1" applyBorder="1" applyAlignment="1">
      <alignment horizontal="right" vertical="center" wrapText="1"/>
    </xf>
    <xf numFmtId="49" fontId="13" fillId="14" borderId="15" xfId="0" applyNumberFormat="1" applyFont="1" applyFill="1" applyBorder="1" applyAlignment="1" applyProtection="1">
      <alignment horizontal="left" vertical="center" wrapText="1"/>
      <protection locked="0"/>
    </xf>
    <xf numFmtId="49" fontId="13" fillId="14" borderId="19" xfId="0" applyNumberFormat="1" applyFont="1" applyFill="1" applyBorder="1" applyAlignment="1" applyProtection="1">
      <alignment horizontal="left" vertical="center" wrapText="1"/>
      <protection locked="0"/>
    </xf>
    <xf numFmtId="49" fontId="13" fillId="13" borderId="20" xfId="0" applyNumberFormat="1" applyFont="1" applyFill="1" applyBorder="1" applyAlignment="1">
      <alignment horizontal="left" vertical="center" wrapText="1"/>
    </xf>
    <xf numFmtId="49" fontId="13" fillId="13" borderId="15" xfId="0" applyNumberFormat="1" applyFont="1" applyFill="1" applyBorder="1" applyAlignment="1">
      <alignment horizontal="left" vertical="center" wrapText="1"/>
    </xf>
    <xf numFmtId="0" fontId="40" fillId="0" borderId="20" xfId="0" applyNumberFormat="1" applyFont="1" applyBorder="1" applyAlignment="1">
      <alignment horizontal="center" vertical="center" wrapText="1"/>
    </xf>
    <xf numFmtId="0" fontId="40" fillId="0" borderId="0" xfId="0" applyNumberFormat="1" applyFont="1" applyAlignment="1">
      <alignment horizontal="center" vertical="center"/>
    </xf>
    <xf numFmtId="0" fontId="40" fillId="0" borderId="0" xfId="0" applyNumberFormat="1" applyFont="1" applyAlignment="1">
      <alignment horizontal="center" vertical="center"/>
    </xf>
    <xf numFmtId="0" fontId="45" fillId="0" borderId="0" xfId="0" applyNumberFormat="1" applyFont="1" applyAlignment="1">
      <alignment horizontal="center" vertical="center"/>
    </xf>
    <xf numFmtId="14" fontId="8" fillId="15" borderId="4" xfId="0" applyNumberFormat="1" applyFont="1" applyFill="1" applyBorder="1" applyAlignment="1">
      <alignment horizontal="left" vertical="center" wrapText="1"/>
    </xf>
    <xf numFmtId="169" fontId="8" fillId="0" borderId="29" xfId="0" applyNumberFormat="1" applyFont="1" applyBorder="1" applyAlignment="1">
      <alignment horizontal="center" vertical="center" wrapText="1"/>
    </xf>
    <xf numFmtId="0" fontId="8" fillId="14" borderId="4" xfId="0" applyNumberFormat="1" applyFont="1" applyFill="1" applyBorder="1" applyAlignment="1" applyProtection="1">
      <alignment horizontal="center" vertical="center" wrapText="1"/>
      <protection locked="0"/>
    </xf>
    <xf numFmtId="0" fontId="39" fillId="9" borderId="0" xfId="0" applyNumberFormat="1" applyFont="1" applyFill="1" applyAlignment="1"/>
    <xf numFmtId="169" fontId="38" fillId="0" borderId="50" xfId="0" applyNumberFormat="1" applyFont="1" applyBorder="1" applyAlignment="1">
      <alignment horizontal="center" vertical="center" wrapText="1"/>
    </xf>
    <xf numFmtId="169" fontId="38" fillId="0" borderId="50" xfId="0" applyNumberFormat="1" applyFont="1" applyBorder="1" applyAlignment="1">
      <alignment horizontal="center" vertical="center" wrapText="1"/>
    </xf>
    <xf numFmtId="49" fontId="13" fillId="14" borderId="20" xfId="0" applyNumberFormat="1" applyFont="1" applyFill="1" applyBorder="1" applyAlignment="1" applyProtection="1">
      <alignment horizontal="left" vertical="center" wrapText="1"/>
      <protection locked="0"/>
    </xf>
    <xf numFmtId="0" fontId="8" fillId="0" borderId="7" xfId="0" applyNumberFormat="1" applyFont="1" applyBorder="1" applyAlignment="1">
      <alignment horizontal="right" vertical="center" wrapText="1" indent="1"/>
    </xf>
    <xf numFmtId="0" fontId="8" fillId="11" borderId="6" xfId="0" applyNumberFormat="1" applyFont="1" applyFill="1" applyBorder="1" applyAlignment="1">
      <alignment horizontal="left" vertical="top" wrapText="1"/>
    </xf>
    <xf numFmtId="49" fontId="40" fillId="0" borderId="0" xfId="0" applyNumberFormat="1" applyFont="1" applyAlignment="1">
      <alignment horizontal="center" vertical="center"/>
    </xf>
    <xf numFmtId="0" fontId="35" fillId="0" borderId="0" xfId="0" applyNumberFormat="1" applyFont="1" applyAlignment="1">
      <alignment vertical="center"/>
    </xf>
    <xf numFmtId="0" fontId="8" fillId="0" borderId="28" xfId="0" applyNumberFormat="1" applyFont="1" applyBorder="1" applyAlignment="1">
      <alignment horizontal="center" vertical="center" wrapText="1"/>
    </xf>
    <xf numFmtId="0" fontId="8" fillId="0" borderId="29" xfId="0" applyNumberFormat="1" applyFont="1" applyBorder="1" applyAlignment="1">
      <alignment horizontal="center" vertical="center" wrapText="1"/>
    </xf>
    <xf numFmtId="0" fontId="8" fillId="0" borderId="9" xfId="0" applyNumberFormat="1" applyFont="1" applyBorder="1" applyAlignment="1">
      <alignment horizontal="center" vertical="center" wrapText="1"/>
    </xf>
    <xf numFmtId="0" fontId="8" fillId="0" borderId="14" xfId="0" applyNumberFormat="1" applyFont="1" applyBorder="1" applyAlignment="1">
      <alignment horizontal="center" vertical="center" wrapText="1"/>
    </xf>
    <xf numFmtId="49" fontId="8" fillId="0" borderId="28" xfId="0" applyNumberFormat="1" applyFont="1" applyBorder="1" applyAlignment="1">
      <alignment horizontal="center" vertical="center" wrapText="1"/>
    </xf>
    <xf numFmtId="49" fontId="8" fillId="0" borderId="9" xfId="0" applyNumberFormat="1" applyFont="1" applyBorder="1" applyAlignment="1">
      <alignment horizontal="center" vertical="center" wrapText="1"/>
    </xf>
    <xf numFmtId="0" fontId="8" fillId="0" borderId="28" xfId="0" applyNumberFormat="1" applyFont="1" applyBorder="1" applyAlignment="1">
      <alignment horizontal="left" vertical="center" wrapText="1"/>
    </xf>
    <xf numFmtId="49" fontId="8" fillId="0" borderId="28" xfId="0" applyNumberFormat="1" applyFont="1" applyBorder="1" applyAlignment="1">
      <alignment vertical="center" wrapText="1"/>
    </xf>
    <xf numFmtId="49" fontId="30" fillId="0" borderId="28" xfId="0" applyNumberFormat="1" applyFont="1" applyBorder="1" applyAlignment="1">
      <alignment vertical="center" wrapText="1"/>
    </xf>
    <xf numFmtId="0" fontId="8" fillId="0" borderId="15" xfId="0" applyNumberFormat="1" applyFont="1" applyBorder="1" applyAlignment="1">
      <alignment horizontal="left" vertical="center" wrapText="1"/>
    </xf>
    <xf numFmtId="0" fontId="33" fillId="0" borderId="28" xfId="0" applyNumberFormat="1" applyFont="1" applyBorder="1" applyAlignment="1">
      <alignment horizontal="left" vertical="center"/>
    </xf>
    <xf numFmtId="0" fontId="33" fillId="13" borderId="29" xfId="0" applyNumberFormat="1" applyFont="1" applyFill="1" applyBorder="1" applyAlignment="1">
      <alignment horizontal="left" vertical="center"/>
    </xf>
    <xf numFmtId="0" fontId="8" fillId="0" borderId="29" xfId="0" applyNumberFormat="1" applyFont="1" applyBorder="1" applyAlignment="1">
      <alignment horizontal="center" vertical="center" wrapText="1"/>
    </xf>
    <xf numFmtId="49" fontId="0" fillId="0" borderId="0" xfId="0" applyNumberFormat="1" applyFont="1">
      <alignment vertical="top"/>
    </xf>
    <xf numFmtId="49" fontId="39" fillId="0" borderId="0" xfId="0" applyNumberFormat="1" applyFont="1" applyAlignment="1">
      <alignment horizontal="center" vertical="center"/>
    </xf>
    <xf numFmtId="0" fontId="104" fillId="0" borderId="0" xfId="0" applyNumberFormat="1" applyFont="1" applyAlignment="1">
      <alignment vertical="center" wrapText="1"/>
    </xf>
    <xf numFmtId="0" fontId="105" fillId="0" borderId="0" xfId="0" applyNumberFormat="1" applyFont="1" applyAlignment="1">
      <alignment vertical="center" wrapText="1"/>
    </xf>
    <xf numFmtId="0" fontId="8" fillId="0" borderId="9" xfId="0" applyNumberFormat="1" applyFont="1" applyBorder="1" applyAlignment="1">
      <alignment horizontal="center" vertical="center" wrapText="1"/>
    </xf>
    <xf numFmtId="49" fontId="8" fillId="0" borderId="9" xfId="0" applyNumberFormat="1" applyFont="1" applyBorder="1" applyAlignment="1">
      <alignment horizontal="left" vertical="center" wrapText="1"/>
    </xf>
    <xf numFmtId="49" fontId="8" fillId="0" borderId="9" xfId="0" applyNumberFormat="1" applyFont="1" applyBorder="1" applyAlignment="1">
      <alignment horizontal="center" vertical="center" wrapText="1"/>
    </xf>
    <xf numFmtId="0" fontId="8" fillId="0" borderId="9" xfId="0" applyNumberFormat="1" applyFont="1" applyBorder="1" applyAlignment="1">
      <alignment horizontal="left" vertical="center" wrapText="1"/>
    </xf>
    <xf numFmtId="0" fontId="8" fillId="0" borderId="0" xfId="0" applyNumberFormat="1" applyFont="1" applyAlignment="1">
      <alignment horizontal="left" vertical="center" wrapText="1"/>
    </xf>
    <xf numFmtId="49" fontId="8" fillId="0" borderId="11" xfId="0" applyNumberFormat="1" applyFont="1" applyBorder="1" applyAlignment="1">
      <alignment vertical="center" wrapText="1"/>
    </xf>
    <xf numFmtId="49" fontId="8" fillId="0" borderId="11" xfId="0" applyNumberFormat="1" applyFont="1" applyBorder="1" applyAlignment="1">
      <alignment horizontal="left" vertical="center" wrapText="1"/>
    </xf>
    <xf numFmtId="49" fontId="30" fillId="0" borderId="11" xfId="0" applyNumberFormat="1" applyFont="1" applyBorder="1" applyAlignment="1">
      <alignment vertical="center" wrapText="1"/>
    </xf>
    <xf numFmtId="49" fontId="8" fillId="0" borderId="11" xfId="0" applyNumberFormat="1" applyFont="1" applyBorder="1" applyAlignment="1">
      <alignment horizontal="center" vertical="center" wrapText="1"/>
    </xf>
    <xf numFmtId="0" fontId="8" fillId="0" borderId="11" xfId="0" applyNumberFormat="1" applyFont="1" applyBorder="1" applyAlignment="1">
      <alignment horizontal="left" vertical="center" wrapText="1"/>
    </xf>
    <xf numFmtId="49" fontId="8" fillId="0" borderId="11" xfId="0" applyNumberFormat="1" applyFont="1" applyBorder="1" applyAlignment="1">
      <alignment vertical="center" wrapText="1"/>
    </xf>
    <xf numFmtId="49" fontId="8" fillId="0" borderId="0" xfId="0" applyNumberFormat="1" applyFont="1" applyAlignment="1">
      <alignment vertical="center" wrapText="1"/>
    </xf>
    <xf numFmtId="49" fontId="8" fillId="0" borderId="0" xfId="0" applyNumberFormat="1" applyFont="1" applyAlignment="1">
      <alignment horizontal="left" vertical="center" wrapText="1"/>
    </xf>
    <xf numFmtId="49" fontId="30" fillId="0" borderId="0" xfId="0" applyNumberFormat="1" applyFont="1" applyAlignment="1">
      <alignment vertical="center" wrapText="1"/>
    </xf>
    <xf numFmtId="49" fontId="8" fillId="0" borderId="0" xfId="0" applyNumberFormat="1" applyFont="1" applyAlignment="1">
      <alignment horizontal="center" vertical="center" wrapText="1"/>
    </xf>
    <xf numFmtId="0" fontId="8" fillId="0" borderId="0" xfId="0" applyNumberFormat="1" applyFont="1" applyAlignment="1">
      <alignment horizontal="left" vertical="center" wrapText="1"/>
    </xf>
    <xf numFmtId="0" fontId="33" fillId="0" borderId="0" xfId="0" applyNumberFormat="1" applyFont="1" applyAlignment="1">
      <alignment horizontal="left" vertical="center"/>
    </xf>
    <xf numFmtId="49" fontId="30" fillId="0" borderId="0" xfId="0" applyNumberFormat="1" applyFont="1" applyAlignment="1">
      <alignment horizontal="center" vertical="center" wrapText="1"/>
    </xf>
    <xf numFmtId="0" fontId="33" fillId="0" borderId="0" xfId="0" applyNumberFormat="1" applyFont="1" applyAlignment="1">
      <alignment vertical="center"/>
    </xf>
    <xf numFmtId="49" fontId="57" fillId="0" borderId="19" xfId="0" applyNumberFormat="1" applyFont="1" applyBorder="1">
      <alignment vertical="top"/>
    </xf>
    <xf numFmtId="49" fontId="8" fillId="0" borderId="29" xfId="0" applyNumberFormat="1" applyFont="1" applyBorder="1" applyAlignment="1">
      <alignment vertical="center" wrapText="1"/>
    </xf>
    <xf numFmtId="49" fontId="8" fillId="0" borderId="14" xfId="0" applyNumberFormat="1" applyFont="1" applyBorder="1" applyAlignment="1">
      <alignment vertical="center" wrapText="1"/>
    </xf>
    <xf numFmtId="0" fontId="33" fillId="0" borderId="14" xfId="0" applyNumberFormat="1" applyFont="1" applyBorder="1" applyAlignment="1">
      <alignment horizontal="left" vertical="center"/>
    </xf>
    <xf numFmtId="49" fontId="57" fillId="0" borderId="20" xfId="0" applyNumberFormat="1" applyFont="1" applyBorder="1">
      <alignment vertical="top"/>
    </xf>
    <xf numFmtId="49" fontId="30" fillId="0" borderId="28" xfId="0" applyNumberFormat="1" applyFont="1" applyBorder="1" applyAlignment="1">
      <alignment horizontal="center" vertical="center" wrapText="1"/>
    </xf>
    <xf numFmtId="49" fontId="8" fillId="0" borderId="28" xfId="0" applyNumberFormat="1" applyFont="1" applyBorder="1" applyAlignment="1">
      <alignment horizontal="center" vertical="center" wrapText="1"/>
    </xf>
    <xf numFmtId="49" fontId="0" fillId="0" borderId="4" xfId="0" applyNumberFormat="1" applyFont="1" applyBorder="1" applyAlignment="1">
      <alignment horizontal="left" vertical="center" wrapText="1" indent="1"/>
    </xf>
    <xf numFmtId="49" fontId="0" fillId="0" borderId="0" xfId="0" applyNumberFormat="1" applyFont="1">
      <alignment vertical="top"/>
    </xf>
    <xf numFmtId="0" fontId="8" fillId="0" borderId="0" xfId="0" applyNumberFormat="1" applyFont="1" applyAlignment="1">
      <alignment vertical="center" wrapText="1"/>
    </xf>
    <xf numFmtId="0" fontId="8" fillId="0" borderId="0" xfId="0" applyNumberFormat="1" applyFont="1" applyAlignment="1">
      <alignment horizontal="left" vertical="center" wrapText="1"/>
    </xf>
    <xf numFmtId="0" fontId="48" fillId="0" borderId="0" xfId="0" applyNumberFormat="1" applyFont="1" applyAlignment="1">
      <alignment vertical="center" wrapText="1"/>
    </xf>
    <xf numFmtId="0" fontId="40" fillId="0" borderId="0" xfId="0" applyNumberFormat="1" applyFont="1" applyAlignment="1">
      <alignment vertical="center" wrapText="1"/>
    </xf>
    <xf numFmtId="0" fontId="54" fillId="0" borderId="0" xfId="0" applyNumberFormat="1" applyFont="1" applyAlignment="1">
      <alignment vertical="center" wrapText="1"/>
    </xf>
    <xf numFmtId="49" fontId="8" fillId="0" borderId="4" xfId="0" applyNumberFormat="1" applyFont="1" applyBorder="1" applyAlignment="1">
      <alignment horizontal="center" vertical="center" wrapText="1"/>
    </xf>
    <xf numFmtId="0" fontId="30" fillId="9" borderId="4" xfId="0" applyNumberFormat="1" applyFont="1" applyFill="1" applyBorder="1" applyAlignment="1">
      <alignment horizontal="center" vertical="center" wrapText="1"/>
    </xf>
    <xf numFmtId="0" fontId="30" fillId="9" borderId="0" xfId="0" applyNumberFormat="1" applyFont="1" applyFill="1" applyAlignment="1">
      <alignment horizontal="center" vertical="center" wrapText="1"/>
    </xf>
    <xf numFmtId="49" fontId="8" fillId="0" borderId="4" xfId="0" applyNumberFormat="1" applyFont="1" applyBorder="1" applyAlignment="1">
      <alignment horizontal="center" vertical="center" wrapText="1"/>
    </xf>
    <xf numFmtId="3" fontId="8" fillId="14" borderId="4" xfId="0" applyNumberFormat="1" applyFont="1" applyFill="1" applyBorder="1" applyAlignment="1" applyProtection="1">
      <alignment horizontal="right" vertical="center" wrapText="1"/>
      <protection locked="0"/>
    </xf>
    <xf numFmtId="0" fontId="40" fillId="0" borderId="0" xfId="0" applyNumberFormat="1" applyFont="1" applyAlignment="1">
      <alignment vertical="center" wrapText="1"/>
    </xf>
    <xf numFmtId="49" fontId="8" fillId="14" borderId="4" xfId="0" applyNumberFormat="1" applyFont="1" applyFill="1" applyBorder="1" applyAlignment="1" applyProtection="1">
      <alignment horizontal="left" vertical="center" wrapText="1"/>
      <protection locked="0"/>
    </xf>
    <xf numFmtId="0" fontId="40" fillId="0" borderId="0" xfId="0" applyNumberFormat="1" applyFont="1" applyAlignment="1">
      <alignment vertical="center"/>
    </xf>
    <xf numFmtId="0" fontId="30" fillId="9" borderId="4" xfId="0" applyNumberFormat="1" applyFont="1" applyFill="1" applyBorder="1" applyAlignment="1">
      <alignment horizontal="center" vertical="center" wrapText="1"/>
    </xf>
    <xf numFmtId="0" fontId="39" fillId="0" borderId="14" xfId="0" applyNumberFormat="1" applyFont="1" applyBorder="1" applyAlignment="1">
      <alignment vertical="center"/>
    </xf>
    <xf numFmtId="0" fontId="39" fillId="0" borderId="14" xfId="0" applyNumberFormat="1" applyFont="1" applyBorder="1" applyAlignment="1">
      <alignment vertical="center"/>
    </xf>
    <xf numFmtId="0" fontId="8" fillId="0" borderId="9" xfId="0" applyNumberFormat="1" applyFont="1" applyBorder="1" applyAlignment="1">
      <alignment horizontal="left" vertical="center" wrapText="1" indent="1"/>
    </xf>
    <xf numFmtId="49" fontId="8" fillId="0" borderId="51" xfId="0" applyNumberFormat="1" applyFont="1" applyBorder="1" applyAlignment="1">
      <alignment horizontal="center" vertical="center" wrapText="1"/>
    </xf>
    <xf numFmtId="49" fontId="8" fillId="0" borderId="21" xfId="0" applyNumberFormat="1" applyFont="1" applyBorder="1" applyAlignment="1">
      <alignment horizontal="center" vertical="center" wrapText="1"/>
    </xf>
    <xf numFmtId="0" fontId="8" fillId="0" borderId="0" xfId="0" applyNumberFormat="1" applyFont="1" applyAlignment="1">
      <alignment vertical="center" wrapText="1"/>
    </xf>
    <xf numFmtId="0" fontId="25" fillId="0" borderId="0" xfId="0" applyNumberFormat="1" applyFont="1" applyAlignment="1">
      <alignment vertical="center" wrapText="1"/>
    </xf>
    <xf numFmtId="0" fontId="30" fillId="0" borderId="0" xfId="0" applyNumberFormat="1" applyFont="1" applyAlignment="1">
      <alignment horizontal="center" vertical="center" wrapText="1"/>
    </xf>
    <xf numFmtId="0" fontId="8" fillId="0" borderId="4" xfId="0" applyNumberFormat="1" applyFont="1" applyBorder="1" applyAlignment="1">
      <alignment horizontal="center" vertical="center" wrapText="1"/>
    </xf>
    <xf numFmtId="0" fontId="8" fillId="0" borderId="0" xfId="0" applyNumberFormat="1" applyFont="1" applyAlignment="1">
      <alignment vertical="center" wrapText="1"/>
    </xf>
    <xf numFmtId="0" fontId="40" fillId="0" borderId="0" xfId="0" applyNumberFormat="1" applyFont="1" applyAlignment="1">
      <alignment vertical="center" wrapText="1"/>
    </xf>
    <xf numFmtId="0" fontId="8" fillId="0" borderId="4" xfId="0" applyNumberFormat="1" applyFont="1" applyBorder="1" applyAlignment="1">
      <alignment horizontal="center" vertical="center" wrapText="1"/>
    </xf>
    <xf numFmtId="49" fontId="8" fillId="0" borderId="0" xfId="0" applyNumberFormat="1" applyFont="1" applyAlignment="1">
      <alignment horizontal="center" vertical="center" wrapText="1"/>
    </xf>
    <xf numFmtId="0" fontId="8" fillId="0" borderId="4" xfId="0" applyNumberFormat="1" applyFont="1" applyBorder="1" applyAlignment="1">
      <alignment horizontal="center" vertical="center" wrapText="1"/>
    </xf>
    <xf numFmtId="0" fontId="44" fillId="0" borderId="0" xfId="0" applyNumberFormat="1" applyFont="1" applyAlignment="1">
      <alignment vertical="center"/>
    </xf>
    <xf numFmtId="0" fontId="40" fillId="0" borderId="0" xfId="0" applyNumberFormat="1" applyFont="1" applyAlignment="1">
      <alignment vertical="center" wrapText="1"/>
    </xf>
    <xf numFmtId="0" fontId="8" fillId="0" borderId="5" xfId="0" applyNumberFormat="1" applyFont="1" applyBorder="1" applyAlignment="1">
      <alignment horizontal="center" vertical="center" wrapText="1"/>
    </xf>
    <xf numFmtId="0" fontId="8" fillId="0" borderId="9" xfId="0" applyNumberFormat="1" applyFont="1" applyBorder="1" applyAlignment="1">
      <alignment horizontal="center" vertical="center" wrapText="1"/>
    </xf>
    <xf numFmtId="0" fontId="8" fillId="0" borderId="7" xfId="0" applyNumberFormat="1" applyFont="1" applyBorder="1" applyAlignment="1">
      <alignment horizontal="right" vertical="center" wrapText="1" indent="1"/>
    </xf>
    <xf numFmtId="0" fontId="8" fillId="0" borderId="4" xfId="0" applyNumberFormat="1" applyFont="1" applyBorder="1" applyAlignment="1">
      <alignment horizontal="center" vertical="center" wrapText="1"/>
    </xf>
    <xf numFmtId="0" fontId="8" fillId="0" borderId="0" xfId="0" applyNumberFormat="1" applyFont="1" applyAlignment="1">
      <alignment horizontal="left" vertical="top" wrapText="1"/>
    </xf>
    <xf numFmtId="0" fontId="8" fillId="0" borderId="4" xfId="0" applyNumberFormat="1" applyFont="1" applyBorder="1" applyAlignment="1">
      <alignment horizontal="center" vertical="center" wrapText="1"/>
    </xf>
    <xf numFmtId="49" fontId="8" fillId="15" borderId="4" xfId="0" applyNumberFormat="1" applyFont="1" applyFill="1" applyBorder="1" applyAlignment="1">
      <alignment horizontal="left" vertical="center" wrapText="1"/>
    </xf>
    <xf numFmtId="0" fontId="8" fillId="0" borderId="4" xfId="0" applyNumberFormat="1" applyFont="1" applyBorder="1" applyAlignment="1">
      <alignment horizontal="left" vertical="center" wrapText="1" indent="2"/>
    </xf>
    <xf numFmtId="0" fontId="40" fillId="0" borderId="9" xfId="0" applyNumberFormat="1" applyFont="1" applyBorder="1" applyAlignment="1">
      <alignment horizontal="center" vertical="center" wrapText="1"/>
    </xf>
    <xf numFmtId="0" fontId="8" fillId="11" borderId="6" xfId="0" applyNumberFormat="1" applyFont="1" applyFill="1" applyBorder="1" applyAlignment="1">
      <alignment horizontal="left" vertical="top" wrapText="1"/>
    </xf>
    <xf numFmtId="0" fontId="8" fillId="0" borderId="4" xfId="0" applyNumberFormat="1" applyFont="1" applyBorder="1" applyAlignment="1">
      <alignment horizontal="center" vertical="center" wrapText="1"/>
    </xf>
    <xf numFmtId="0" fontId="8" fillId="0" borderId="5" xfId="0" applyNumberFormat="1" applyFont="1" applyBorder="1" applyAlignment="1">
      <alignment horizontal="center" vertical="center" wrapText="1"/>
    </xf>
    <xf numFmtId="0" fontId="8" fillId="0" borderId="9" xfId="0" applyNumberFormat="1" applyFont="1" applyBorder="1" applyAlignment="1">
      <alignment horizontal="center" vertical="center" wrapText="1"/>
    </xf>
    <xf numFmtId="0" fontId="8" fillId="0" borderId="7" xfId="0" applyNumberFormat="1" applyFont="1" applyBorder="1" applyAlignment="1">
      <alignment horizontal="right" vertical="center" wrapText="1" indent="1"/>
    </xf>
    <xf numFmtId="0" fontId="8" fillId="0" borderId="4" xfId="0" applyNumberFormat="1" applyFont="1" applyBorder="1" applyAlignment="1">
      <alignment horizontal="center" vertical="center" wrapText="1"/>
    </xf>
    <xf numFmtId="0" fontId="8" fillId="0" borderId="4" xfId="0" applyNumberFormat="1" applyFont="1" applyBorder="1" applyAlignment="1">
      <alignment horizontal="center" vertical="center" wrapText="1"/>
    </xf>
    <xf numFmtId="0" fontId="8" fillId="11" borderId="6" xfId="0" applyNumberFormat="1" applyFont="1" applyFill="1" applyBorder="1" applyAlignment="1">
      <alignment horizontal="left" vertical="top" wrapText="1"/>
    </xf>
    <xf numFmtId="0" fontId="8" fillId="0" borderId="4" xfId="0" applyNumberFormat="1" applyFont="1" applyBorder="1" applyAlignment="1">
      <alignment horizontal="center" vertical="center" wrapText="1"/>
    </xf>
    <xf numFmtId="49" fontId="0" fillId="0" borderId="4" xfId="0" applyNumberFormat="1" applyFont="1" applyBorder="1" applyAlignment="1">
      <alignment vertical="center" wrapText="1"/>
    </xf>
    <xf numFmtId="0" fontId="40" fillId="0" borderId="6" xfId="0" applyNumberFormat="1" applyFont="1" applyBorder="1" applyAlignment="1">
      <alignment vertical="center" wrapText="1"/>
    </xf>
    <xf numFmtId="0" fontId="40" fillId="0" borderId="6" xfId="0" applyNumberFormat="1" applyFont="1" applyBorder="1" applyAlignment="1">
      <alignment horizontal="left" vertical="top" wrapText="1"/>
    </xf>
    <xf numFmtId="49" fontId="8" fillId="0" borderId="52" xfId="0" applyNumberFormat="1" applyFont="1" applyBorder="1" applyAlignment="1">
      <alignment horizontal="center" vertical="center" wrapText="1"/>
    </xf>
    <xf numFmtId="0" fontId="8" fillId="0" borderId="9" xfId="0" applyNumberFormat="1" applyFont="1" applyBorder="1" applyAlignment="1">
      <alignment horizontal="left" vertical="center" wrapText="1"/>
    </xf>
    <xf numFmtId="49" fontId="33" fillId="13" borderId="11" xfId="0" applyNumberFormat="1" applyFont="1" applyFill="1" applyBorder="1" applyAlignment="1">
      <alignment horizontal="left" vertical="center" indent="2"/>
    </xf>
    <xf numFmtId="49" fontId="0" fillId="0" borderId="4" xfId="0" applyNumberFormat="1" applyFont="1" applyBorder="1" applyAlignment="1">
      <alignment horizontal="left" vertical="center" wrapText="1" indent="1"/>
    </xf>
    <xf numFmtId="49" fontId="0" fillId="0" borderId="4" xfId="0" applyNumberFormat="1" applyFont="1" applyBorder="1" applyAlignment="1">
      <alignment horizontal="left" vertical="center" wrapText="1" indent="2"/>
    </xf>
    <xf numFmtId="49" fontId="8" fillId="0" borderId="0" xfId="0" applyNumberFormat="1" applyFont="1" applyAlignment="1">
      <alignment vertical="center" wrapText="1"/>
    </xf>
    <xf numFmtId="0" fontId="0" fillId="0" borderId="4" xfId="0" applyNumberFormat="1" applyFont="1" applyBorder="1" applyAlignment="1">
      <alignment horizontal="center" vertical="center" wrapText="1"/>
    </xf>
    <xf numFmtId="49" fontId="8" fillId="15" borderId="4" xfId="0" applyNumberFormat="1" applyFont="1" applyFill="1" applyBorder="1" applyAlignment="1">
      <alignment horizontal="left" vertical="center" wrapText="1" indent="1"/>
    </xf>
    <xf numFmtId="0" fontId="0" fillId="0" borderId="4" xfId="0" applyNumberFormat="1" applyFont="1" applyBorder="1" applyAlignment="1">
      <alignment horizontal="left" vertical="center" wrapText="1" indent="1"/>
    </xf>
    <xf numFmtId="49" fontId="0" fillId="9" borderId="4" xfId="0" applyNumberFormat="1" applyFont="1" applyFill="1" applyBorder="1" applyAlignment="1">
      <alignment horizontal="center" vertical="center" wrapText="1"/>
    </xf>
    <xf numFmtId="49" fontId="8" fillId="15" borderId="4" xfId="0" applyNumberFormat="1" applyFont="1" applyFill="1" applyBorder="1" applyAlignment="1">
      <alignment horizontal="left" vertical="center" wrapText="1"/>
    </xf>
    <xf numFmtId="49" fontId="8" fillId="0" borderId="53" xfId="0" applyNumberFormat="1" applyFont="1" applyBorder="1" applyAlignment="1">
      <alignment horizontal="center" vertical="center" wrapText="1"/>
    </xf>
    <xf numFmtId="4" fontId="8" fillId="14" borderId="9" xfId="0" applyNumberFormat="1" applyFont="1" applyFill="1" applyBorder="1" applyAlignment="1" applyProtection="1">
      <alignment horizontal="right" vertical="center" wrapText="1"/>
      <protection locked="0"/>
    </xf>
    <xf numFmtId="49" fontId="33" fillId="0" borderId="11" xfId="0" applyNumberFormat="1" applyFont="1" applyBorder="1" applyAlignment="1">
      <alignment horizontal="left" vertical="center"/>
    </xf>
    <xf numFmtId="49" fontId="33" fillId="0" borderId="11" xfId="0" applyNumberFormat="1" applyFont="1" applyBorder="1" applyAlignment="1">
      <alignment horizontal="left" vertical="center" indent="2"/>
    </xf>
    <xf numFmtId="49" fontId="37" fillId="0" borderId="11" xfId="0" applyNumberFormat="1" applyFont="1" applyBorder="1" applyAlignment="1">
      <alignment horizontal="center" vertical="top"/>
    </xf>
    <xf numFmtId="0" fontId="8" fillId="0" borderId="11" xfId="0" applyNumberFormat="1" applyFont="1" applyBorder="1" applyAlignment="1">
      <alignment horizontal="left" vertical="top" wrapText="1"/>
    </xf>
    <xf numFmtId="0" fontId="8" fillId="0" borderId="0" xfId="0" applyNumberFormat="1" applyFont="1" applyAlignment="1">
      <alignment horizontal="right" vertical="top" wrapText="1"/>
    </xf>
    <xf numFmtId="49" fontId="39" fillId="0" borderId="0" xfId="0" applyNumberFormat="1" applyFont="1">
      <alignment vertical="top"/>
    </xf>
    <xf numFmtId="49" fontId="8" fillId="15" borderId="4" xfId="0" applyNumberFormat="1" applyFont="1" applyFill="1" applyBorder="1" applyAlignment="1">
      <alignment horizontal="left" vertical="center" wrapText="1"/>
    </xf>
    <xf numFmtId="49" fontId="8" fillId="15" borderId="6" xfId="0" applyNumberFormat="1" applyFont="1" applyFill="1" applyBorder="1" applyAlignment="1">
      <alignment horizontal="left" vertical="center" wrapText="1"/>
    </xf>
    <xf numFmtId="0" fontId="8" fillId="9" borderId="0" xfId="0" applyNumberFormat="1" applyFont="1" applyFill="1" applyAlignment="1"/>
    <xf numFmtId="0" fontId="8" fillId="0" borderId="0" xfId="33" applyFont="1" applyAlignment="1">
      <alignment vertical="top" wrapText="1"/>
    </xf>
    <xf numFmtId="0" fontId="30" fillId="9" borderId="0" xfId="0" applyNumberFormat="1" applyFont="1" applyFill="1" applyAlignment="1">
      <alignment horizontal="center" vertical="center" wrapText="1"/>
    </xf>
    <xf numFmtId="0" fontId="0" fillId="9" borderId="15" xfId="0" applyNumberFormat="1" applyFont="1" applyFill="1" applyBorder="1" applyAlignment="1">
      <alignment vertical="center" wrapText="1"/>
    </xf>
    <xf numFmtId="49" fontId="0" fillId="0" borderId="0" xfId="0" applyNumberFormat="1" applyFont="1">
      <alignment vertical="top"/>
    </xf>
    <xf numFmtId="0" fontId="0" fillId="0" borderId="0" xfId="0" applyNumberFormat="1" applyFont="1">
      <alignment vertical="top"/>
    </xf>
    <xf numFmtId="49" fontId="25" fillId="21" borderId="0" xfId="0" applyNumberFormat="1" applyFont="1" applyFill="1" applyAlignment="1">
      <alignment horizontal="center" vertical="center"/>
    </xf>
    <xf numFmtId="0" fontId="0" fillId="22" borderId="0" xfId="0" applyNumberFormat="1" applyFont="1" applyFill="1" applyAlignment="1">
      <alignment horizontal="left" vertical="center"/>
    </xf>
    <xf numFmtId="49" fontId="0" fillId="0" borderId="0" xfId="0" applyNumberFormat="1" applyFont="1" applyAlignment="1">
      <alignment vertical="center"/>
    </xf>
    <xf numFmtId="0" fontId="0" fillId="22" borderId="0" xfId="0" applyNumberFormat="1" applyFont="1" applyFill="1" applyAlignment="1">
      <alignment horizontal="right" vertical="center"/>
    </xf>
    <xf numFmtId="0" fontId="44" fillId="22" borderId="0" xfId="0" applyNumberFormat="1" applyFont="1" applyFill="1" applyAlignment="1">
      <alignment horizontal="left" vertical="center"/>
    </xf>
    <xf numFmtId="0" fontId="0" fillId="0" borderId="0" xfId="0" applyNumberFormat="1" applyFont="1" applyAlignment="1">
      <alignment horizontal="right" vertical="top"/>
    </xf>
    <xf numFmtId="0" fontId="0" fillId="22" borderId="3" xfId="0" applyNumberFormat="1" applyFont="1" applyFill="1" applyBorder="1" applyAlignment="1">
      <alignment horizontal="center"/>
    </xf>
    <xf numFmtId="0" fontId="0" fillId="0" borderId="3" xfId="0" applyNumberFormat="1" applyFont="1" applyBorder="1" applyAlignment="1">
      <alignment horizontal="center"/>
    </xf>
    <xf numFmtId="0" fontId="106" fillId="0" borderId="0" xfId="0" applyNumberFormat="1" applyFont="1" applyAlignment="1">
      <alignment wrapText="1"/>
    </xf>
    <xf numFmtId="49" fontId="56" fillId="0" borderId="0" xfId="0" applyNumberFormat="1" applyFont="1" applyAlignment="1">
      <alignment wrapText="1"/>
    </xf>
    <xf numFmtId="49" fontId="56" fillId="0" borderId="0" xfId="0" applyNumberFormat="1" applyFont="1" applyAlignment="1">
      <alignment vertical="center" wrapText="1"/>
    </xf>
    <xf numFmtId="49" fontId="107" fillId="0" borderId="0" xfId="0" applyNumberFormat="1" applyFont="1" applyAlignment="1">
      <alignment wrapText="1"/>
    </xf>
    <xf numFmtId="0" fontId="92" fillId="0" borderId="0" xfId="0" applyNumberFormat="1" applyFont="1" applyAlignment="1">
      <alignment horizontal="left" vertical="center" wrapText="1"/>
    </xf>
    <xf numFmtId="49" fontId="108" fillId="0" borderId="0" xfId="0" applyNumberFormat="1" applyFont="1" applyAlignment="1">
      <alignment wrapText="1"/>
    </xf>
    <xf numFmtId="0" fontId="7" fillId="0" borderId="0" xfId="0" applyNumberFormat="1" applyFont="1" applyAlignment="1">
      <alignment horizontal="left" vertical="top" wrapText="1"/>
    </xf>
    <xf numFmtId="49" fontId="8" fillId="0" borderId="0" xfId="0" applyNumberFormat="1" applyFont="1" applyAlignment="1">
      <alignment vertical="top" wrapText="1"/>
    </xf>
    <xf numFmtId="0" fontId="56" fillId="0" borderId="0" xfId="0" applyNumberFormat="1" applyFont="1" applyAlignment="1">
      <alignment wrapText="1"/>
    </xf>
    <xf numFmtId="0" fontId="109" fillId="0" borderId="0" xfId="0" applyNumberFormat="1" applyFont="1" applyAlignment="1">
      <alignment horizontal="left" vertical="center" wrapText="1"/>
    </xf>
    <xf numFmtId="0" fontId="110" fillId="0" borderId="0" xfId="0" applyNumberFormat="1" applyFont="1" applyAlignment="1">
      <alignment vertical="center" wrapText="1"/>
    </xf>
    <xf numFmtId="0" fontId="56" fillId="0" borderId="30" xfId="0" applyNumberFormat="1" applyFont="1" applyBorder="1" applyAlignment="1">
      <alignment wrapText="1"/>
    </xf>
    <xf numFmtId="0" fontId="56" fillId="0" borderId="0" xfId="0" applyNumberFormat="1" applyFont="1" applyAlignment="1"/>
    <xf numFmtId="0" fontId="109" fillId="0" borderId="0" xfId="0" applyNumberFormat="1" applyFont="1" applyAlignment="1"/>
    <xf numFmtId="0" fontId="111" fillId="0" borderId="0" xfId="0" applyNumberFormat="1" applyFont="1" applyAlignment="1">
      <alignment wrapText="1"/>
    </xf>
    <xf numFmtId="0" fontId="0" fillId="6" borderId="54" xfId="0" applyNumberFormat="1" applyFont="1" applyFill="1" applyBorder="1" applyAlignment="1">
      <alignment horizontal="center" vertical="center" wrapText="1"/>
    </xf>
    <xf numFmtId="0" fontId="0" fillId="27" borderId="54" xfId="0" applyNumberFormat="1" applyFont="1" applyFill="1" applyBorder="1" applyAlignment="1">
      <alignment horizontal="center" vertical="center" wrapText="1"/>
    </xf>
    <xf numFmtId="0" fontId="0" fillId="11" borderId="54" xfId="0" applyNumberFormat="1" applyFont="1" applyFill="1" applyBorder="1" applyAlignment="1">
      <alignment horizontal="center" vertical="center" wrapText="1"/>
    </xf>
    <xf numFmtId="0" fontId="0" fillId="14" borderId="54" xfId="0" applyNumberFormat="1" applyFont="1" applyFill="1" applyBorder="1" applyAlignment="1">
      <alignment horizontal="center" vertical="center" wrapText="1"/>
    </xf>
    <xf numFmtId="0" fontId="109" fillId="0" borderId="30" xfId="0" applyNumberFormat="1" applyFont="1" applyBorder="1" applyAlignment="1">
      <alignment horizontal="left" vertical="center" wrapText="1"/>
    </xf>
    <xf numFmtId="0" fontId="109" fillId="0" borderId="55" xfId="0" applyNumberFormat="1" applyFont="1" applyBorder="1" applyAlignment="1">
      <alignment horizontal="left" vertical="center" wrapText="1"/>
    </xf>
    <xf numFmtId="0" fontId="111" fillId="0" borderId="0" xfId="0" applyNumberFormat="1" applyFont="1" applyAlignment="1"/>
    <xf numFmtId="0" fontId="111" fillId="0" borderId="30" xfId="0" applyNumberFormat="1" applyFont="1" applyBorder="1" applyAlignment="1">
      <alignment wrapText="1"/>
    </xf>
    <xf numFmtId="0" fontId="56" fillId="0" borderId="56" xfId="0" applyNumberFormat="1" applyFont="1" applyBorder="1" applyAlignment="1">
      <alignment wrapText="1"/>
    </xf>
    <xf numFmtId="0" fontId="56" fillId="0" borderId="31" xfId="0" applyNumberFormat="1" applyFont="1" applyBorder="1" applyAlignment="1">
      <alignment wrapText="1"/>
    </xf>
    <xf numFmtId="0" fontId="56" fillId="0" borderId="31" xfId="0" applyNumberFormat="1" applyFont="1" applyBorder="1" applyAlignment="1">
      <alignment vertical="center" wrapText="1"/>
    </xf>
    <xf numFmtId="0" fontId="107" fillId="0" borderId="0" xfId="0" applyNumberFormat="1" applyFont="1" applyAlignment="1"/>
    <xf numFmtId="0" fontId="29" fillId="0" borderId="16" xfId="0" applyNumberFormat="1" applyFont="1" applyBorder="1" applyAlignment="1">
      <alignment horizontal="center" vertical="center" wrapText="1"/>
    </xf>
    <xf numFmtId="49" fontId="8" fillId="0" borderId="5" xfId="0" applyNumberFormat="1" applyFont="1" applyBorder="1" applyAlignment="1">
      <alignment horizontal="center" vertical="center" wrapText="1"/>
    </xf>
    <xf numFmtId="0" fontId="29" fillId="0" borderId="4" xfId="0" applyNumberFormat="1" applyFont="1" applyBorder="1" applyAlignment="1">
      <alignment horizontal="center" vertical="center" wrapText="1"/>
    </xf>
    <xf numFmtId="49" fontId="112" fillId="0" borderId="0" xfId="0" applyNumberFormat="1" applyFont="1" applyAlignment="1">
      <alignment horizontal="center" vertical="center" wrapText="1"/>
    </xf>
    <xf numFmtId="49" fontId="8" fillId="22" borderId="0" xfId="0" applyNumberFormat="1" applyFont="1" applyFill="1" applyAlignment="1">
      <alignment horizontal="center" vertical="center"/>
    </xf>
    <xf numFmtId="168" fontId="0" fillId="14" borderId="4" xfId="0" applyNumberFormat="1" applyFont="1" applyFill="1" applyBorder="1" applyAlignment="1" applyProtection="1">
      <alignment horizontal="left" vertical="center" wrapText="1" indent="1"/>
      <protection locked="0"/>
    </xf>
    <xf numFmtId="168" fontId="0" fillId="0" borderId="4" xfId="0" applyNumberFormat="1" applyFont="1" applyBorder="1" applyAlignment="1">
      <alignment horizontal="left" vertical="center" wrapText="1" indent="1"/>
    </xf>
    <xf numFmtId="168" fontId="0" fillId="14" borderId="4" xfId="0" applyNumberFormat="1" applyFont="1" applyFill="1" applyBorder="1" applyAlignment="1" applyProtection="1">
      <alignment horizontal="center" vertical="center" wrapText="1"/>
      <protection locked="0"/>
    </xf>
    <xf numFmtId="168" fontId="40" fillId="0" borderId="0" xfId="0" applyNumberFormat="1" applyFont="1" applyAlignment="1">
      <alignment horizontal="center" vertical="center" wrapText="1"/>
    </xf>
    <xf numFmtId="168" fontId="40" fillId="0" borderId="4" xfId="0" applyNumberFormat="1" applyFont="1" applyBorder="1" applyAlignment="1">
      <alignment horizontal="center" vertical="center" wrapText="1"/>
    </xf>
    <xf numFmtId="168" fontId="0" fillId="14" borderId="4" xfId="0" applyNumberFormat="1" applyFont="1" applyFill="1" applyBorder="1" applyAlignment="1" applyProtection="1">
      <alignment horizontal="left" vertical="center" wrapText="1"/>
      <protection locked="0"/>
    </xf>
    <xf numFmtId="168" fontId="0" fillId="6" borderId="4" xfId="0" applyNumberFormat="1" applyFont="1" applyFill="1" applyBorder="1" applyAlignment="1" applyProtection="1">
      <alignment horizontal="left" vertical="center" wrapText="1" indent="1"/>
      <protection locked="0"/>
    </xf>
    <xf numFmtId="168" fontId="0" fillId="14" borderId="5" xfId="0" applyNumberFormat="1" applyFont="1" applyFill="1" applyBorder="1" applyAlignment="1" applyProtection="1">
      <alignment horizontal="left" vertical="center" wrapText="1"/>
      <protection locked="0"/>
    </xf>
    <xf numFmtId="0" fontId="8" fillId="0" borderId="4" xfId="0" applyNumberFormat="1" applyFont="1" applyBorder="1" applyAlignment="1">
      <alignment horizontal="center" vertical="center" wrapText="1"/>
    </xf>
    <xf numFmtId="0" fontId="8" fillId="0" borderId="28" xfId="0" applyNumberFormat="1" applyFont="1" applyBorder="1" applyAlignment="1">
      <alignment horizontal="center" vertical="center" wrapText="1"/>
    </xf>
    <xf numFmtId="0" fontId="30" fillId="0" borderId="16" xfId="0" applyNumberFormat="1" applyFont="1" applyBorder="1" applyAlignment="1">
      <alignment horizontal="center" vertical="center" wrapText="1"/>
    </xf>
    <xf numFmtId="0" fontId="8" fillId="0" borderId="0" xfId="0" applyNumberFormat="1" applyFont="1" applyAlignment="1">
      <alignment horizontal="left" vertical="top" indent="1"/>
    </xf>
    <xf numFmtId="0" fontId="8" fillId="11" borderId="19" xfId="0" applyNumberFormat="1" applyFont="1" applyFill="1" applyBorder="1" applyAlignment="1">
      <alignment horizontal="center" vertical="top"/>
    </xf>
    <xf numFmtId="0" fontId="0" fillId="0" borderId="26" xfId="0" applyNumberFormat="1" applyFont="1" applyBorder="1" applyAlignment="1">
      <alignment horizontal="center" vertical="center"/>
    </xf>
    <xf numFmtId="0" fontId="0" fillId="0" borderId="25" xfId="0" applyNumberFormat="1" applyFont="1" applyBorder="1" applyAlignment="1">
      <alignment horizontal="center" vertical="center"/>
    </xf>
    <xf numFmtId="0" fontId="8" fillId="15" borderId="28" xfId="0" applyNumberFormat="1" applyFont="1" applyFill="1" applyBorder="1" applyAlignment="1">
      <alignment horizontal="center" vertical="top" wrapText="1"/>
    </xf>
    <xf numFmtId="49" fontId="0" fillId="14" borderId="4" xfId="0" applyNumberFormat="1" applyFont="1" applyFill="1" applyBorder="1" applyAlignment="1" applyProtection="1">
      <alignment horizontal="left" vertical="center" wrapText="1"/>
      <protection locked="0"/>
    </xf>
    <xf numFmtId="49" fontId="8" fillId="6" borderId="4" xfId="0" applyNumberFormat="1" applyFont="1" applyFill="1" applyBorder="1" applyAlignment="1" applyProtection="1">
      <alignment horizontal="left" vertical="center" wrapText="1"/>
      <protection locked="0"/>
    </xf>
    <xf numFmtId="49" fontId="8" fillId="0" borderId="4" xfId="0" applyNumberFormat="1" applyFont="1" applyBorder="1" applyAlignment="1">
      <alignment horizontal="center" vertical="center" wrapText="1"/>
    </xf>
    <xf numFmtId="0" fontId="8" fillId="11" borderId="19" xfId="0" applyNumberFormat="1" applyFont="1" applyFill="1" applyBorder="1" applyAlignment="1">
      <alignment horizontal="left" vertical="top"/>
    </xf>
    <xf numFmtId="0" fontId="8" fillId="0" borderId="4" xfId="0" applyNumberFormat="1" applyFont="1" applyBorder="1" applyAlignment="1">
      <alignment horizontal="left" vertical="top"/>
    </xf>
    <xf numFmtId="49" fontId="8" fillId="0" borderId="0" xfId="0" applyNumberFormat="1" applyFont="1" applyAlignment="1">
      <alignment horizontal="left" vertical="top"/>
    </xf>
    <xf numFmtId="0" fontId="8" fillId="15" borderId="28" xfId="0" applyNumberFormat="1" applyFont="1" applyFill="1" applyBorder="1" applyAlignment="1">
      <alignment horizontal="center" vertical="top" wrapText="1"/>
    </xf>
    <xf numFmtId="49" fontId="8" fillId="15" borderId="28" xfId="0" applyNumberFormat="1" applyFont="1" applyFill="1" applyBorder="1" applyAlignment="1">
      <alignment horizontal="center" vertical="center" wrapText="1"/>
    </xf>
    <xf numFmtId="49" fontId="40" fillId="0" borderId="4" xfId="0" applyNumberFormat="1" applyFont="1" applyBorder="1" applyAlignment="1">
      <alignment horizontal="center" vertical="center" wrapText="1"/>
    </xf>
    <xf numFmtId="49" fontId="8" fillId="6" borderId="4" xfId="0" applyNumberFormat="1" applyFont="1" applyFill="1" applyBorder="1" applyAlignment="1" applyProtection="1">
      <alignment horizontal="left" vertical="center" wrapText="1"/>
      <protection locked="0"/>
    </xf>
    <xf numFmtId="0" fontId="38" fillId="0" borderId="4" xfId="0" applyNumberFormat="1" applyFont="1" applyBorder="1" applyAlignment="1">
      <alignment horizontal="center" vertical="center"/>
    </xf>
    <xf numFmtId="49" fontId="0" fillId="14" borderId="4" xfId="0" applyNumberFormat="1" applyFont="1" applyFill="1" applyBorder="1" applyAlignment="1" applyProtection="1">
      <alignment horizontal="left" vertical="center" wrapText="1"/>
      <protection locked="0"/>
    </xf>
    <xf numFmtId="49" fontId="8" fillId="0" borderId="4" xfId="0" applyNumberFormat="1" applyFont="1" applyBorder="1" applyAlignment="1">
      <alignment horizontal="center" vertical="center" wrapText="1"/>
    </xf>
    <xf numFmtId="49" fontId="8" fillId="15" borderId="28" xfId="0" applyNumberFormat="1" applyFont="1" applyFill="1" applyBorder="1" applyAlignment="1">
      <alignment horizontal="center" vertical="top" wrapText="1"/>
    </xf>
    <xf numFmtId="49" fontId="0" fillId="0" borderId="28" xfId="0" applyNumberFormat="1" applyFont="1" applyBorder="1">
      <alignment vertical="top"/>
    </xf>
    <xf numFmtId="49" fontId="8" fillId="15" borderId="28" xfId="0" applyNumberFormat="1" applyFont="1" applyFill="1" applyBorder="1" applyAlignment="1">
      <alignment horizontal="center" vertical="center" wrapText="1"/>
    </xf>
    <xf numFmtId="49" fontId="0" fillId="14" borderId="28" xfId="0" applyNumberFormat="1" applyFont="1" applyFill="1" applyBorder="1" applyProtection="1">
      <alignment vertical="top"/>
      <protection locked="0"/>
    </xf>
    <xf numFmtId="0" fontId="8" fillId="0" borderId="4" xfId="0" applyNumberFormat="1" applyFont="1" applyBorder="1" applyAlignment="1">
      <alignment horizontal="center" vertical="center" wrapText="1"/>
    </xf>
    <xf numFmtId="0" fontId="0" fillId="9" borderId="4" xfId="0" applyNumberFormat="1" applyFont="1" applyFill="1" applyBorder="1" applyAlignment="1">
      <alignment vertical="top" wrapText="1"/>
    </xf>
    <xf numFmtId="0" fontId="39" fillId="0" borderId="4" xfId="0" applyNumberFormat="1" applyFont="1" applyBorder="1" applyAlignment="1">
      <alignment vertical="top" wrapText="1"/>
    </xf>
    <xf numFmtId="49" fontId="0" fillId="14" borderId="4" xfId="0" applyNumberFormat="1" applyFont="1" applyFill="1" applyBorder="1" applyAlignment="1" applyProtection="1">
      <alignment horizontal="left" vertical="center" wrapText="1"/>
      <protection locked="0"/>
    </xf>
    <xf numFmtId="0" fontId="39" fillId="0" borderId="0" xfId="0" applyNumberFormat="1" applyFont="1" applyAlignment="1">
      <alignment horizontal="center" vertical="center" wrapText="1"/>
    </xf>
    <xf numFmtId="168" fontId="0" fillId="14" borderId="5" xfId="0" applyNumberFormat="1" applyFont="1" applyFill="1" applyBorder="1" applyAlignment="1" applyProtection="1">
      <alignment horizontal="left" vertical="center" wrapText="1" indent="1"/>
      <protection locked="0"/>
    </xf>
    <xf numFmtId="0" fontId="0" fillId="14" borderId="5" xfId="0" applyNumberFormat="1" applyFont="1" applyFill="1" applyBorder="1" applyAlignment="1" applyProtection="1">
      <alignment horizontal="left" vertical="center" wrapText="1" indent="1"/>
      <protection locked="0"/>
    </xf>
    <xf numFmtId="0" fontId="8" fillId="9" borderId="4" xfId="33" applyFont="1" applyFill="1" applyBorder="1" applyAlignment="1">
      <alignment horizontal="right" vertical="center" wrapText="1" indent="1"/>
    </xf>
    <xf numFmtId="49" fontId="8" fillId="6" borderId="4" xfId="33" applyNumberFormat="1" applyFont="1" applyFill="1" applyBorder="1" applyAlignment="1" applyProtection="1">
      <alignment horizontal="left" vertical="center" wrapText="1" indent="1"/>
      <protection locked="0"/>
    </xf>
    <xf numFmtId="49" fontId="113" fillId="0" borderId="0" xfId="0" applyNumberFormat="1" applyFont="1" applyAlignment="1">
      <alignment vertical="center" wrapText="1"/>
    </xf>
    <xf numFmtId="49" fontId="114" fillId="0" borderId="0" xfId="0" applyNumberFormat="1" applyFont="1" applyAlignment="1">
      <alignment vertical="center" wrapText="1"/>
    </xf>
    <xf numFmtId="0" fontId="0" fillId="14" borderId="5" xfId="0" applyNumberFormat="1" applyFont="1" applyFill="1" applyBorder="1" applyAlignment="1" applyProtection="1">
      <alignment horizontal="left" vertical="center" wrapText="1" indent="1"/>
      <protection locked="0"/>
    </xf>
    <xf numFmtId="0" fontId="81" fillId="0" borderId="0" xfId="0" applyNumberFormat="1" applyFont="1" applyAlignment="1">
      <alignment horizontal="left" vertical="center" wrapText="1"/>
    </xf>
    <xf numFmtId="0" fontId="26" fillId="0" borderId="0" xfId="0" applyNumberFormat="1" applyFont="1" applyAlignment="1">
      <alignment vertical="center" wrapText="1"/>
    </xf>
    <xf numFmtId="0" fontId="57" fillId="0" borderId="0" xfId="0" applyNumberFormat="1" applyFont="1" applyAlignment="1">
      <alignment vertical="center"/>
    </xf>
    <xf numFmtId="0" fontId="34" fillId="0" borderId="0" xfId="0" applyNumberFormat="1" applyFont="1" applyAlignment="1">
      <alignment vertical="center"/>
    </xf>
    <xf numFmtId="49" fontId="40" fillId="0" borderId="0" xfId="0" applyNumberFormat="1" applyFont="1" applyAlignment="1">
      <alignment horizontal="center" vertical="center"/>
    </xf>
    <xf numFmtId="49" fontId="57" fillId="0" borderId="0" xfId="0" applyNumberFormat="1" applyFont="1">
      <alignment vertical="top"/>
    </xf>
    <xf numFmtId="0" fontId="51" fillId="9" borderId="0" xfId="0" applyNumberFormat="1" applyFont="1" applyFill="1" applyAlignment="1"/>
    <xf numFmtId="0" fontId="40" fillId="9" borderId="0" xfId="0" applyNumberFormat="1" applyFont="1" applyFill="1" applyAlignment="1"/>
    <xf numFmtId="49" fontId="115" fillId="0" borderId="4" xfId="0" applyNumberFormat="1" applyFont="1" applyBorder="1" applyAlignment="1">
      <alignment horizontal="left" vertical="center" wrapText="1"/>
    </xf>
    <xf numFmtId="49" fontId="113" fillId="14" borderId="4" xfId="0" quotePrefix="1" applyNumberFormat="1" applyFont="1" applyFill="1" applyBorder="1" applyAlignment="1" applyProtection="1">
      <alignment horizontal="left" vertical="center" wrapText="1"/>
      <protection locked="0"/>
    </xf>
    <xf numFmtId="49" fontId="113" fillId="6" borderId="4" xfId="0" applyNumberFormat="1" applyFont="1" applyFill="1" applyBorder="1" applyAlignment="1" applyProtection="1">
      <alignment horizontal="left" vertical="center" wrapText="1"/>
      <protection locked="0"/>
    </xf>
    <xf numFmtId="0" fontId="66" fillId="9" borderId="0" xfId="0" applyNumberFormat="1" applyFont="1" applyFill="1" applyAlignment="1"/>
    <xf numFmtId="0" fontId="0" fillId="9" borderId="0" xfId="0" applyNumberFormat="1" applyFont="1" applyFill="1" applyAlignment="1"/>
    <xf numFmtId="0" fontId="0" fillId="9" borderId="0" xfId="0" applyNumberFormat="1" applyFont="1" applyFill="1" applyAlignment="1">
      <alignment horizontal="center"/>
    </xf>
    <xf numFmtId="0" fontId="35" fillId="0" borderId="0" xfId="0" applyNumberFormat="1" applyFont="1" applyAlignment="1">
      <alignment vertical="center" wrapText="1"/>
    </xf>
    <xf numFmtId="0" fontId="78" fillId="0" borderId="0" xfId="0" applyNumberFormat="1" applyFont="1" applyAlignment="1">
      <alignment vertical="center" wrapText="1"/>
    </xf>
    <xf numFmtId="0" fontId="50" fillId="0" borderId="0" xfId="0" applyNumberFormat="1" applyFont="1" applyAlignment="1">
      <alignment vertical="center" wrapText="1"/>
    </xf>
    <xf numFmtId="49" fontId="85" fillId="0" borderId="0" xfId="0" applyNumberFormat="1" applyFont="1" applyAlignment="1">
      <alignment vertical="top" wrapText="1"/>
    </xf>
    <xf numFmtId="49" fontId="85" fillId="0" borderId="0" xfId="0" applyNumberFormat="1" applyFont="1">
      <alignment vertical="top"/>
    </xf>
    <xf numFmtId="49" fontId="85" fillId="0" borderId="0" xfId="0" applyNumberFormat="1" applyFont="1" applyAlignment="1">
      <alignment horizontal="center" vertical="top" wrapText="1"/>
    </xf>
    <xf numFmtId="49" fontId="85" fillId="0" borderId="0" xfId="0" applyNumberFormat="1" applyFont="1" applyAlignment="1">
      <alignment horizontal="left" vertical="top" wrapText="1"/>
    </xf>
    <xf numFmtId="49" fontId="85" fillId="7" borderId="0" xfId="0" applyNumberFormat="1" applyFont="1" applyFill="1" applyAlignment="1">
      <alignment horizontal="left" vertical="top" wrapText="1"/>
    </xf>
    <xf numFmtId="0" fontId="85" fillId="0" borderId="0" xfId="0" applyNumberFormat="1" applyFont="1" applyAlignment="1">
      <alignment vertical="top" wrapText="1"/>
    </xf>
    <xf numFmtId="49" fontId="8" fillId="0" borderId="0" xfId="0" applyNumberFormat="1" applyFont="1" applyAlignment="1">
      <alignment horizontal="center" vertical="top"/>
    </xf>
    <xf numFmtId="49" fontId="117" fillId="13" borderId="7" xfId="0" applyNumberFormat="1" applyFont="1" applyFill="1" applyBorder="1" applyAlignment="1">
      <alignment vertical="top" wrapText="1"/>
    </xf>
    <xf numFmtId="49" fontId="117" fillId="13" borderId="5" xfId="0" applyNumberFormat="1" applyFont="1" applyFill="1" applyBorder="1" applyAlignment="1">
      <alignment vertical="top" wrapText="1"/>
    </xf>
    <xf numFmtId="0" fontId="117" fillId="15" borderId="4" xfId="0" applyNumberFormat="1" applyFont="1" applyFill="1" applyBorder="1" applyAlignment="1">
      <alignment horizontal="left" vertical="center" wrapText="1" indent="1"/>
    </xf>
    <xf numFmtId="49" fontId="117" fillId="13" borderId="44" xfId="0" applyNumberFormat="1" applyFont="1" applyFill="1" applyBorder="1" applyAlignment="1">
      <alignment vertical="top" wrapText="1"/>
    </xf>
    <xf numFmtId="0" fontId="116" fillId="14" borderId="4" xfId="0" applyNumberFormat="1" applyFont="1" applyFill="1" applyBorder="1" applyAlignment="1" applyProtection="1">
      <alignment horizontal="left" vertical="center" wrapText="1" indent="2"/>
      <protection locked="0"/>
    </xf>
    <xf numFmtId="0" fontId="118" fillId="0" borderId="4" xfId="0" applyNumberFormat="1" applyFont="1" applyBorder="1" applyAlignment="1">
      <alignment horizontal="left" vertical="center" wrapText="1" indent="2"/>
    </xf>
    <xf numFmtId="4" fontId="113" fillId="6" borderId="4" xfId="0" applyNumberFormat="1" applyFont="1" applyFill="1" applyBorder="1" applyAlignment="1" applyProtection="1">
      <alignment horizontal="right" vertical="center" wrapText="1"/>
      <protection locked="0"/>
    </xf>
    <xf numFmtId="4" fontId="113" fillId="0" borderId="4" xfId="0" applyNumberFormat="1" applyFont="1" applyBorder="1" applyAlignment="1">
      <alignment horizontal="right" vertical="center" wrapText="1"/>
    </xf>
    <xf numFmtId="166" fontId="113" fillId="6" borderId="4" xfId="0" applyNumberFormat="1" applyFont="1" applyFill="1" applyBorder="1" applyAlignment="1" applyProtection="1">
      <alignment horizontal="right" vertical="center" wrapText="1"/>
      <protection locked="0"/>
    </xf>
    <xf numFmtId="4" fontId="115" fillId="0" borderId="4" xfId="0" applyNumberFormat="1" applyFont="1" applyBorder="1" applyAlignment="1">
      <alignment horizontal="center" vertical="center" wrapText="1"/>
    </xf>
    <xf numFmtId="4" fontId="114" fillId="0" borderId="4" xfId="0" applyNumberFormat="1" applyFont="1" applyBorder="1" applyAlignment="1">
      <alignment horizontal="right" vertical="center" wrapText="1"/>
    </xf>
    <xf numFmtId="166" fontId="114" fillId="0" borderId="4" xfId="0" applyNumberFormat="1" applyFont="1" applyBorder="1" applyAlignment="1">
      <alignment horizontal="right" vertical="center" wrapText="1"/>
    </xf>
    <xf numFmtId="0" fontId="59" fillId="0" borderId="0" xfId="0" applyNumberFormat="1" applyFont="1" applyAlignment="1">
      <alignment vertical="center" wrapText="1"/>
    </xf>
    <xf numFmtId="0" fontId="39" fillId="0" borderId="0" xfId="0" applyNumberFormat="1" applyFont="1" applyAlignment="1">
      <alignment horizontal="left" vertical="center" wrapText="1"/>
    </xf>
    <xf numFmtId="4" fontId="113" fillId="0" borderId="9" xfId="0" applyNumberFormat="1" applyFont="1" applyBorder="1" applyAlignment="1">
      <alignment horizontal="right" vertical="center" wrapText="1"/>
    </xf>
    <xf numFmtId="4" fontId="113" fillId="0" borderId="15" xfId="0" applyNumberFormat="1" applyFont="1" applyBorder="1" applyAlignment="1">
      <alignment horizontal="right" vertical="center" wrapText="1"/>
    </xf>
    <xf numFmtId="0" fontId="32" fillId="0" borderId="0" xfId="0" applyNumberFormat="1" applyFont="1" applyAlignment="1">
      <alignment vertical="center" wrapText="1"/>
    </xf>
    <xf numFmtId="166" fontId="113" fillId="0" borderId="4" xfId="0" applyNumberFormat="1" applyFont="1" applyBorder="1" applyAlignment="1">
      <alignment horizontal="right" vertical="center" wrapText="1"/>
    </xf>
    <xf numFmtId="166" fontId="113" fillId="6" borderId="6" xfId="0" applyNumberFormat="1" applyFont="1" applyFill="1" applyBorder="1" applyAlignment="1" applyProtection="1">
      <alignment horizontal="right" vertical="center" wrapText="1"/>
      <protection locked="0"/>
    </xf>
    <xf numFmtId="4" fontId="113" fillId="6" borderId="5" xfId="0" applyNumberFormat="1" applyFont="1" applyFill="1" applyBorder="1" applyAlignment="1" applyProtection="1">
      <alignment horizontal="right" vertical="center" wrapText="1"/>
      <protection locked="0"/>
    </xf>
    <xf numFmtId="4" fontId="115" fillId="0" borderId="6" xfId="0" applyNumberFormat="1" applyFont="1" applyBorder="1" applyAlignment="1">
      <alignment horizontal="center" vertical="center" wrapText="1"/>
    </xf>
    <xf numFmtId="4" fontId="113" fillId="0" borderId="5" xfId="0" applyNumberFormat="1" applyFont="1" applyBorder="1" applyAlignment="1">
      <alignment horizontal="right" vertical="center" wrapText="1"/>
    </xf>
    <xf numFmtId="4" fontId="113" fillId="13" borderId="7" xfId="0" applyNumberFormat="1" applyFont="1" applyFill="1" applyBorder="1" applyAlignment="1">
      <alignment horizontal="right" vertical="center" wrapText="1"/>
    </xf>
    <xf numFmtId="4" fontId="115" fillId="13" borderId="7" xfId="0" applyNumberFormat="1" applyFont="1" applyFill="1" applyBorder="1" applyAlignment="1">
      <alignment horizontal="center" vertical="center" wrapText="1"/>
    </xf>
    <xf numFmtId="4" fontId="113" fillId="13" borderId="5" xfId="0" applyNumberFormat="1" applyFont="1" applyFill="1" applyBorder="1" applyAlignment="1">
      <alignment horizontal="right" vertical="center" wrapText="1"/>
    </xf>
    <xf numFmtId="49" fontId="39" fillId="0" borderId="0" xfId="0" applyNumberFormat="1" applyFont="1" applyAlignment="1">
      <alignment vertical="center" wrapText="1"/>
    </xf>
    <xf numFmtId="0" fontId="46" fillId="0" borderId="0" xfId="0" applyNumberFormat="1" applyFont="1" applyAlignment="1">
      <alignment vertical="center" wrapText="1"/>
    </xf>
    <xf numFmtId="166" fontId="113" fillId="13" borderId="5" xfId="0" applyNumberFormat="1" applyFont="1" applyFill="1" applyBorder="1" applyAlignment="1">
      <alignment horizontal="right" vertical="center" wrapText="1"/>
    </xf>
    <xf numFmtId="166" fontId="113" fillId="13" borderId="7" xfId="0" applyNumberFormat="1" applyFont="1" applyFill="1" applyBorder="1" applyAlignment="1">
      <alignment horizontal="right" vertical="center" wrapText="1"/>
    </xf>
    <xf numFmtId="4" fontId="113" fillId="0" borderId="28" xfId="0" applyNumberFormat="1" applyFont="1" applyBorder="1" applyAlignment="1">
      <alignment horizontal="right" vertical="center" wrapText="1"/>
    </xf>
    <xf numFmtId="4" fontId="115" fillId="13" borderId="5" xfId="0" applyNumberFormat="1" applyFont="1" applyFill="1" applyBorder="1" applyAlignment="1">
      <alignment horizontal="center" vertical="center" wrapText="1"/>
    </xf>
    <xf numFmtId="4" fontId="115" fillId="0" borderId="4" xfId="0" applyNumberFormat="1" applyFont="1" applyBorder="1" applyAlignment="1">
      <alignment horizontal="right" vertical="center" wrapText="1"/>
    </xf>
    <xf numFmtId="166" fontId="115" fillId="0" borderId="4" xfId="0" applyNumberFormat="1" applyFont="1" applyBorder="1" applyAlignment="1">
      <alignment horizontal="right" vertical="center" wrapText="1"/>
    </xf>
    <xf numFmtId="0" fontId="39" fillId="0" borderId="0" xfId="0" applyNumberFormat="1" applyFont="1" applyAlignment="1">
      <alignment horizontal="left" vertical="center"/>
    </xf>
    <xf numFmtId="49" fontId="40" fillId="0" borderId="0" xfId="0" applyNumberFormat="1" applyFont="1" applyAlignment="1">
      <alignment vertical="center" wrapText="1"/>
    </xf>
    <xf numFmtId="0" fontId="25" fillId="0" borderId="0" xfId="0" applyNumberFormat="1" applyFont="1" applyAlignment="1">
      <alignment horizontal="center" vertical="center" wrapText="1"/>
    </xf>
    <xf numFmtId="49" fontId="0" fillId="0" borderId="0" xfId="0" applyNumberFormat="1" applyFont="1" applyAlignment="1">
      <alignment vertical="center" wrapText="1"/>
    </xf>
    <xf numFmtId="0" fontId="116" fillId="14" borderId="4" xfId="0" applyNumberFormat="1" applyFont="1" applyFill="1" applyBorder="1" applyAlignment="1" applyProtection="1">
      <alignment horizontal="left" vertical="center" wrapText="1" indent="1"/>
      <protection locked="0"/>
    </xf>
    <xf numFmtId="0" fontId="116" fillId="0" borderId="4" xfId="0" applyNumberFormat="1" applyFont="1" applyBorder="1" applyAlignment="1">
      <alignment horizontal="left" vertical="center" wrapText="1" indent="1"/>
    </xf>
    <xf numFmtId="0" fontId="116" fillId="14" borderId="4" xfId="0" applyNumberFormat="1" applyFont="1" applyFill="1" applyBorder="1" applyAlignment="1" applyProtection="1">
      <alignment horizontal="left" vertical="center" wrapText="1"/>
      <protection locked="0"/>
    </xf>
    <xf numFmtId="0" fontId="116" fillId="0" borderId="4" xfId="0" applyNumberFormat="1" applyFont="1" applyBorder="1" applyAlignment="1">
      <alignment horizontal="left" vertical="center" wrapText="1" indent="2"/>
    </xf>
    <xf numFmtId="49" fontId="116" fillId="14" borderId="4" xfId="0" applyNumberFormat="1" applyFont="1" applyFill="1" applyBorder="1" applyAlignment="1" applyProtection="1">
      <alignment horizontal="left" vertical="center" wrapText="1" indent="1"/>
      <protection locked="0"/>
    </xf>
    <xf numFmtId="0" fontId="73" fillId="0" borderId="0" xfId="0" applyNumberFormat="1" applyFont="1" applyAlignment="1">
      <alignment vertical="center" wrapText="1"/>
    </xf>
    <xf numFmtId="0" fontId="29" fillId="0" borderId="0" xfId="0" applyNumberFormat="1" applyFont="1" applyAlignment="1">
      <alignment horizontal="center" vertical="center" wrapText="1"/>
    </xf>
    <xf numFmtId="4" fontId="116" fillId="14" borderId="4" xfId="0" applyNumberFormat="1" applyFont="1" applyFill="1" applyBorder="1" applyAlignment="1" applyProtection="1">
      <alignment horizontal="right" vertical="center" wrapText="1"/>
      <protection locked="0"/>
    </xf>
    <xf numFmtId="4" fontId="113" fillId="0" borderId="29" xfId="0" applyNumberFormat="1" applyFont="1" applyBorder="1" applyAlignment="1">
      <alignment horizontal="right" vertical="center" wrapText="1"/>
    </xf>
    <xf numFmtId="4" fontId="113" fillId="0" borderId="19" xfId="0" applyNumberFormat="1" applyFont="1" applyBorder="1" applyAlignment="1">
      <alignment horizontal="right" vertical="center" wrapText="1"/>
    </xf>
    <xf numFmtId="4" fontId="8" fillId="6" borderId="4" xfId="0" applyNumberFormat="1" applyFont="1" applyFill="1" applyBorder="1" applyAlignment="1" applyProtection="1">
      <alignment horizontal="right" vertical="center" wrapText="1"/>
      <protection locked="0"/>
    </xf>
    <xf numFmtId="49" fontId="81" fillId="0" borderId="0" xfId="0" applyNumberFormat="1" applyFont="1" applyAlignment="1">
      <alignment horizontal="center" vertical="center" wrapText="1"/>
    </xf>
    <xf numFmtId="0" fontId="8" fillId="0" borderId="5" xfId="0" applyNumberFormat="1" applyFont="1" applyBorder="1" applyAlignment="1">
      <alignment vertical="top" wrapText="1"/>
    </xf>
    <xf numFmtId="0" fontId="63" fillId="0" borderId="0" xfId="0" applyNumberFormat="1" applyFont="1" applyAlignment="1">
      <alignment vertical="center" wrapText="1"/>
    </xf>
    <xf numFmtId="0" fontId="25" fillId="0" borderId="0" xfId="0" applyNumberFormat="1" applyFont="1" applyAlignment="1">
      <alignment horizontal="left" vertical="center" wrapText="1"/>
    </xf>
    <xf numFmtId="0" fontId="74" fillId="0" borderId="0" xfId="0" applyNumberFormat="1" applyFont="1" applyAlignment="1">
      <alignment vertical="center" wrapText="1"/>
    </xf>
    <xf numFmtId="0" fontId="44" fillId="0" borderId="0" xfId="0" applyNumberFormat="1" applyFont="1" applyAlignment="1">
      <alignment vertical="center" wrapText="1"/>
    </xf>
    <xf numFmtId="0" fontId="53" fillId="0" borderId="0" xfId="0" applyNumberFormat="1" applyFont="1" applyAlignment="1">
      <alignment vertical="center" wrapText="1"/>
    </xf>
    <xf numFmtId="0" fontId="8" fillId="0" borderId="0" xfId="0" applyNumberFormat="1" applyFont="1" applyAlignment="1">
      <alignment horizontal="left" vertical="center" wrapText="1"/>
    </xf>
    <xf numFmtId="49" fontId="25" fillId="0" borderId="0" xfId="0" applyNumberFormat="1" applyFont="1" applyAlignment="1">
      <alignment horizontal="center" vertical="center" wrapText="1"/>
    </xf>
    <xf numFmtId="49" fontId="38" fillId="0" borderId="0" xfId="0" applyNumberFormat="1" applyFont="1" applyAlignment="1">
      <alignment horizontal="center" vertical="center" wrapText="1"/>
    </xf>
    <xf numFmtId="49" fontId="8" fillId="0" borderId="0" xfId="0" applyNumberFormat="1" applyFont="1" applyAlignment="1">
      <alignment vertical="center"/>
    </xf>
    <xf numFmtId="0" fontId="38" fillId="0" borderId="0" xfId="0" applyNumberFormat="1" applyFont="1" applyAlignment="1">
      <alignment vertical="center" wrapText="1"/>
    </xf>
    <xf numFmtId="49" fontId="38" fillId="0" borderId="0" xfId="0" applyNumberFormat="1" applyFont="1" applyAlignment="1">
      <alignment vertical="center" wrapText="1"/>
    </xf>
    <xf numFmtId="49" fontId="89" fillId="0" borderId="0" xfId="0" applyNumberFormat="1" applyFont="1" applyAlignment="1">
      <alignment vertical="center" wrapText="1"/>
    </xf>
    <xf numFmtId="49" fontId="8" fillId="0" borderId="0" xfId="0" applyNumberFormat="1" applyFont="1" applyAlignment="1">
      <alignment vertical="center" wrapText="1"/>
    </xf>
    <xf numFmtId="0" fontId="25" fillId="0" borderId="0" xfId="0" applyNumberFormat="1" applyFont="1" applyAlignment="1">
      <alignment vertical="center" wrapText="1"/>
    </xf>
    <xf numFmtId="49" fontId="25" fillId="0" borderId="0" xfId="0" applyNumberFormat="1" applyFont="1">
      <alignment vertical="top"/>
    </xf>
    <xf numFmtId="49" fontId="30" fillId="0" borderId="0" xfId="0" applyNumberFormat="1" applyFont="1" applyAlignment="1">
      <alignment horizontal="center" vertical="center"/>
    </xf>
    <xf numFmtId="0" fontId="8" fillId="9" borderId="0" xfId="0" applyNumberFormat="1" applyFont="1" applyFill="1" applyAlignment="1"/>
    <xf numFmtId="0" fontId="30" fillId="0" borderId="0" xfId="0" applyNumberFormat="1" applyFont="1" applyAlignment="1">
      <alignment horizontal="center" vertical="center"/>
    </xf>
    <xf numFmtId="0" fontId="57" fillId="9" borderId="0" xfId="0" applyNumberFormat="1" applyFont="1" applyFill="1" applyAlignment="1"/>
    <xf numFmtId="0" fontId="35" fillId="0" borderId="0" xfId="0" applyNumberFormat="1" applyFont="1" applyAlignment="1">
      <alignment horizontal="center" vertical="center" wrapText="1"/>
    </xf>
    <xf numFmtId="0" fontId="8" fillId="0" borderId="0" xfId="0" applyNumberFormat="1" applyFont="1" applyAlignment="1">
      <alignment horizontal="center" vertical="center" wrapText="1"/>
    </xf>
    <xf numFmtId="0" fontId="8" fillId="0" borderId="0" xfId="0" applyNumberFormat="1" applyFont="1" applyAlignment="1"/>
    <xf numFmtId="0" fontId="1" fillId="0" borderId="0" xfId="0" applyNumberFormat="1" applyFont="1" applyAlignment="1"/>
    <xf numFmtId="0" fontId="21" fillId="0" borderId="0" xfId="0" applyNumberFormat="1" applyFont="1" applyAlignment="1"/>
    <xf numFmtId="49" fontId="0" fillId="0" borderId="0" xfId="0" applyNumberFormat="1" applyFont="1">
      <alignment vertical="top"/>
    </xf>
    <xf numFmtId="49" fontId="0" fillId="14" borderId="1" xfId="0" applyNumberFormat="1" applyFont="1" applyFill="1" applyBorder="1" applyAlignment="1" applyProtection="1">
      <alignment horizontal="left" vertical="center" wrapText="1" indent="1"/>
      <protection locked="0"/>
    </xf>
    <xf numFmtId="0" fontId="8" fillId="14" borderId="4" xfId="0" applyNumberFormat="1" applyFont="1" applyFill="1" applyBorder="1" applyAlignment="1">
      <alignment horizontal="left" vertical="center" wrapText="1" indent="1"/>
    </xf>
    <xf numFmtId="49" fontId="119" fillId="14" borderId="4" xfId="0" applyNumberFormat="1" applyFont="1" applyFill="1" applyBorder="1" applyAlignment="1" applyProtection="1">
      <alignment horizontal="left" vertical="center" wrapText="1" indent="1"/>
      <protection locked="0"/>
    </xf>
    <xf numFmtId="49" fontId="65" fillId="14" borderId="4" xfId="0" applyNumberFormat="1" applyFont="1" applyFill="1" applyBorder="1" applyAlignment="1" applyProtection="1">
      <alignment horizontal="left" vertical="center" wrapText="1" indent="1"/>
      <protection locked="0"/>
    </xf>
    <xf numFmtId="49" fontId="0" fillId="12" borderId="0" xfId="0" applyNumberFormat="1" applyFont="1" applyFill="1">
      <alignment vertical="top"/>
    </xf>
    <xf numFmtId="0" fontId="8" fillId="9" borderId="4" xfId="0" applyNumberFormat="1" applyFont="1" applyFill="1" applyBorder="1" applyAlignment="1">
      <alignment horizontal="center" vertical="center"/>
    </xf>
    <xf numFmtId="49" fontId="8" fillId="14" borderId="4" xfId="0" applyNumberFormat="1" applyFont="1" applyFill="1" applyBorder="1" applyAlignment="1" applyProtection="1">
      <alignment horizontal="left" vertical="center" wrapText="1"/>
      <protection locked="0"/>
    </xf>
    <xf numFmtId="49" fontId="8" fillId="6" borderId="4" xfId="0" applyNumberFormat="1" applyFont="1" applyFill="1" applyBorder="1" applyAlignment="1" applyProtection="1">
      <alignment horizontal="left" vertical="center" wrapText="1"/>
      <protection locked="0"/>
    </xf>
    <xf numFmtId="0" fontId="39" fillId="0" borderId="0" xfId="0" applyNumberFormat="1" applyFont="1" applyAlignment="1">
      <alignment horizontal="center" vertical="center" wrapText="1"/>
    </xf>
    <xf numFmtId="0" fontId="39" fillId="0" borderId="0" xfId="0" applyNumberFormat="1" applyFont="1" applyAlignment="1">
      <alignment vertical="center" wrapText="1"/>
    </xf>
    <xf numFmtId="0" fontId="30" fillId="0" borderId="0" xfId="0" applyNumberFormat="1" applyFont="1" applyAlignment="1">
      <alignment horizontal="center" vertical="center" wrapText="1"/>
    </xf>
    <xf numFmtId="0" fontId="8" fillId="0" borderId="4" xfId="0" applyNumberFormat="1" applyFont="1" applyBorder="1" applyAlignment="1">
      <alignment horizontal="center" vertical="center" wrapText="1"/>
    </xf>
    <xf numFmtId="0" fontId="40" fillId="0" borderId="4" xfId="0" applyNumberFormat="1" applyFont="1" applyBorder="1" applyAlignment="1">
      <alignment horizontal="center" vertical="center"/>
    </xf>
    <xf numFmtId="49" fontId="8" fillId="14" borderId="4" xfId="0" applyNumberFormat="1" applyFont="1" applyFill="1" applyBorder="1" applyAlignment="1" applyProtection="1">
      <alignment vertical="center" wrapText="1"/>
      <protection locked="0"/>
    </xf>
    <xf numFmtId="49" fontId="39" fillId="0" borderId="4" xfId="0" applyNumberFormat="1" applyFont="1" applyBorder="1" applyAlignment="1">
      <alignment horizontal="left" vertical="center" wrapText="1"/>
    </xf>
    <xf numFmtId="0" fontId="40" fillId="0" borderId="0" xfId="0" applyNumberFormat="1" applyFont="1" applyAlignment="1">
      <alignment vertical="center"/>
    </xf>
    <xf numFmtId="0" fontId="45" fillId="0" borderId="0" xfId="0" applyNumberFormat="1" applyFont="1" applyAlignment="1">
      <alignment vertical="center"/>
    </xf>
    <xf numFmtId="0" fontId="29" fillId="0" borderId="16" xfId="0" applyNumberFormat="1" applyFont="1" applyBorder="1" applyAlignment="1">
      <alignment vertical="top" wrapText="1"/>
    </xf>
    <xf numFmtId="0" fontId="8" fillId="0" borderId="15" xfId="0" applyNumberFormat="1" applyFont="1" applyBorder="1" applyAlignment="1">
      <alignment horizontal="center" vertical="center" wrapText="1"/>
    </xf>
    <xf numFmtId="0" fontId="39" fillId="0" borderId="15" xfId="0" applyNumberFormat="1" applyFont="1" applyBorder="1" applyAlignment="1">
      <alignment horizontal="center" vertical="center" wrapText="1"/>
    </xf>
    <xf numFmtId="14" fontId="8" fillId="15" borderId="15" xfId="0" applyNumberFormat="1" applyFont="1" applyFill="1" applyBorder="1" applyAlignment="1">
      <alignment horizontal="left" vertical="center" wrapText="1" indent="1"/>
    </xf>
    <xf numFmtId="49" fontId="8" fillId="11" borderId="15" xfId="0" applyNumberFormat="1" applyFont="1" applyFill="1" applyBorder="1" applyAlignment="1">
      <alignment horizontal="center" vertical="center" wrapText="1"/>
    </xf>
    <xf numFmtId="0" fontId="40" fillId="0" borderId="0" xfId="0" applyNumberFormat="1" applyFont="1" applyAlignment="1">
      <alignment vertical="center" wrapText="1"/>
    </xf>
    <xf numFmtId="0" fontId="64" fillId="0" borderId="0" xfId="0" applyNumberFormat="1" applyFont="1" applyAlignment="1">
      <alignment vertical="center" wrapText="1"/>
    </xf>
    <xf numFmtId="49" fontId="39" fillId="0" borderId="0" xfId="0" applyNumberFormat="1" applyFont="1">
      <alignment vertical="top"/>
    </xf>
    <xf numFmtId="49" fontId="40" fillId="0" borderId="0" xfId="0" applyNumberFormat="1" applyFont="1">
      <alignment vertical="top"/>
    </xf>
    <xf numFmtId="0" fontId="29" fillId="0" borderId="0" xfId="0" applyNumberFormat="1" applyFont="1" applyAlignment="1">
      <alignment vertical="top" wrapText="1"/>
    </xf>
    <xf numFmtId="49" fontId="19" fillId="13" borderId="6" xfId="0" applyNumberFormat="1" applyFont="1" applyFill="1" applyBorder="1" applyAlignment="1">
      <alignment horizontal="right" vertical="center" wrapText="1"/>
    </xf>
    <xf numFmtId="49" fontId="19" fillId="13" borderId="7" xfId="0" applyNumberFormat="1" applyFont="1" applyFill="1" applyBorder="1" applyAlignment="1">
      <alignment horizontal="right" vertical="center" wrapText="1"/>
    </xf>
    <xf numFmtId="49" fontId="33" fillId="13" borderId="7" xfId="0" applyNumberFormat="1" applyFont="1" applyFill="1" applyBorder="1" applyAlignment="1">
      <alignment horizontal="left" vertical="center" indent="1"/>
    </xf>
    <xf numFmtId="49" fontId="0" fillId="13" borderId="7" xfId="0" applyNumberFormat="1" applyFont="1" applyFill="1" applyBorder="1" applyAlignment="1">
      <alignment horizontal="right" vertical="center" wrapText="1"/>
    </xf>
    <xf numFmtId="49" fontId="0" fillId="13" borderId="5" xfId="0" applyNumberFormat="1" applyFont="1" applyFill="1" applyBorder="1" applyAlignment="1">
      <alignment horizontal="right" vertical="center" wrapText="1"/>
    </xf>
    <xf numFmtId="49" fontId="43" fillId="12" borderId="0" xfId="0" applyNumberFormat="1" applyFont="1" applyFill="1">
      <alignment vertical="top"/>
    </xf>
    <xf numFmtId="49" fontId="43" fillId="0" borderId="0" xfId="0" applyNumberFormat="1" applyFont="1">
      <alignment vertical="top"/>
    </xf>
    <xf numFmtId="49" fontId="65" fillId="0" borderId="4" xfId="0" applyNumberFormat="1" applyFont="1" applyBorder="1" applyAlignment="1">
      <alignment horizontal="left" vertical="center" wrapText="1" indent="1"/>
    </xf>
    <xf numFmtId="0" fontId="39" fillId="0" borderId="0" xfId="0" applyNumberFormat="1" applyFont="1" applyAlignment="1">
      <alignment vertical="center"/>
    </xf>
    <xf numFmtId="0" fontId="64" fillId="0" borderId="0" xfId="0" applyNumberFormat="1" applyFont="1" applyAlignment="1">
      <alignment vertical="center"/>
    </xf>
    <xf numFmtId="49" fontId="33" fillId="13" borderId="5" xfId="0" applyNumberFormat="1" applyFont="1" applyFill="1" applyBorder="1" applyAlignment="1">
      <alignment horizontal="left" vertical="center" indent="1"/>
    </xf>
    <xf numFmtId="49" fontId="33" fillId="13" borderId="7" xfId="0" applyNumberFormat="1" applyFont="1" applyFill="1" applyBorder="1" applyAlignment="1">
      <alignment horizontal="left" vertical="center" indent="1"/>
    </xf>
    <xf numFmtId="49" fontId="19" fillId="13" borderId="5" xfId="0" applyNumberFormat="1" applyFont="1" applyFill="1" applyBorder="1" applyAlignment="1">
      <alignment horizontal="right" vertical="center" wrapText="1"/>
    </xf>
    <xf numFmtId="49" fontId="0" fillId="0" borderId="4" xfId="0" applyNumberFormat="1" applyFont="1" applyBorder="1">
      <alignment vertical="top"/>
    </xf>
    <xf numFmtId="49" fontId="65" fillId="14" borderId="4" xfId="0" applyNumberFormat="1" applyFont="1" applyFill="1" applyBorder="1" applyAlignment="1" applyProtection="1">
      <alignment horizontal="left" vertical="center" wrapText="1" indent="1"/>
      <protection locked="0"/>
    </xf>
    <xf numFmtId="0" fontId="39" fillId="0" borderId="14" xfId="0" applyNumberFormat="1" applyFont="1" applyBorder="1" applyAlignment="1">
      <alignment vertical="center"/>
    </xf>
    <xf numFmtId="49" fontId="8" fillId="9" borderId="0" xfId="0" applyNumberFormat="1" applyFont="1" applyFill="1" applyAlignment="1">
      <alignment horizontal="center" vertical="center" wrapText="1"/>
    </xf>
    <xf numFmtId="0" fontId="8" fillId="9" borderId="0" xfId="0" applyNumberFormat="1" applyFont="1" applyFill="1" applyAlignment="1">
      <alignment vertical="center" wrapText="1"/>
    </xf>
    <xf numFmtId="49" fontId="0" fillId="14" borderId="4" xfId="0" applyNumberFormat="1" applyFont="1" applyFill="1" applyBorder="1" applyAlignment="1" applyProtection="1">
      <alignment horizontal="left" vertical="center" wrapText="1" indent="1"/>
      <protection locked="0"/>
    </xf>
    <xf numFmtId="49" fontId="8" fillId="15" borderId="6" xfId="0" applyNumberFormat="1" applyFont="1" applyFill="1" applyBorder="1" applyAlignment="1">
      <alignment horizontal="left" vertical="center" wrapText="1"/>
    </xf>
    <xf numFmtId="0" fontId="55" fillId="9" borderId="0" xfId="0" applyNumberFormat="1" applyFont="1" applyFill="1" applyAlignment="1"/>
    <xf numFmtId="49" fontId="8" fillId="14" borderId="6" xfId="0" applyNumberFormat="1" applyFont="1" applyFill="1" applyBorder="1" applyAlignment="1" applyProtection="1">
      <alignment horizontal="left" vertical="center" wrapText="1"/>
      <protection locked="0"/>
    </xf>
    <xf numFmtId="0" fontId="30" fillId="9" borderId="0" xfId="0" applyNumberFormat="1" applyFont="1" applyFill="1" applyAlignment="1">
      <alignment vertical="top" wrapText="1"/>
    </xf>
    <xf numFmtId="0" fontId="8" fillId="9" borderId="6" xfId="0" applyNumberFormat="1" applyFont="1" applyFill="1" applyBorder="1" applyAlignment="1">
      <alignment horizontal="center" vertical="center" wrapText="1"/>
    </xf>
    <xf numFmtId="0" fontId="40" fillId="9" borderId="4" xfId="0" applyNumberFormat="1" applyFont="1" applyFill="1" applyBorder="1" applyAlignment="1">
      <alignment horizontal="center" vertical="center" wrapText="1"/>
    </xf>
    <xf numFmtId="14" fontId="8" fillId="15" borderId="22" xfId="0" applyNumberFormat="1" applyFont="1" applyFill="1" applyBorder="1" applyAlignment="1">
      <alignment horizontal="left" vertical="center" wrapText="1"/>
    </xf>
    <xf numFmtId="14" fontId="8" fillId="15" borderId="4" xfId="0" applyNumberFormat="1" applyFont="1" applyFill="1" applyBorder="1" applyAlignment="1">
      <alignment horizontal="center" vertical="center" wrapText="1"/>
    </xf>
    <xf numFmtId="0" fontId="40" fillId="0" borderId="0" xfId="0" applyNumberFormat="1" applyFont="1" applyAlignment="1">
      <alignment horizontal="left" vertical="center" wrapText="1"/>
    </xf>
    <xf numFmtId="49" fontId="40" fillId="0" borderId="0" xfId="0" applyNumberFormat="1" applyFont="1" applyAlignment="1">
      <alignment horizontal="left" vertical="center" wrapText="1"/>
    </xf>
    <xf numFmtId="49" fontId="0" fillId="0" borderId="4" xfId="0" applyNumberFormat="1" applyFont="1" applyBorder="1" applyAlignment="1">
      <alignment horizontal="center" vertical="center" wrapText="1"/>
    </xf>
    <xf numFmtId="49" fontId="0" fillId="0" borderId="4" xfId="0" applyNumberFormat="1" applyFont="1" applyBorder="1" applyAlignment="1">
      <alignment horizontal="left" vertical="center" wrapText="1"/>
    </xf>
    <xf numFmtId="0" fontId="8" fillId="15" borderId="6" xfId="0" applyNumberFormat="1" applyFont="1" applyFill="1" applyBorder="1" applyAlignment="1">
      <alignment horizontal="left" vertical="center" wrapText="1"/>
    </xf>
    <xf numFmtId="3" fontId="0" fillId="14" borderId="4" xfId="0" applyNumberFormat="1" applyFont="1" applyFill="1" applyBorder="1" applyAlignment="1" applyProtection="1">
      <alignment horizontal="right" vertical="center" wrapText="1"/>
      <protection locked="0"/>
    </xf>
    <xf numFmtId="3" fontId="0" fillId="14" borderId="5" xfId="0" applyNumberFormat="1" applyFont="1" applyFill="1" applyBorder="1" applyAlignment="1" applyProtection="1">
      <alignment horizontal="right" vertical="center" wrapText="1"/>
      <protection locked="0"/>
    </xf>
    <xf numFmtId="0" fontId="0" fillId="6" borderId="4" xfId="0" applyNumberFormat="1" applyFont="1" applyFill="1" applyBorder="1" applyAlignment="1" applyProtection="1">
      <alignment horizontal="right" vertical="center" wrapText="1"/>
      <protection locked="0"/>
    </xf>
    <xf numFmtId="3" fontId="0" fillId="0" borderId="5" xfId="0" applyNumberFormat="1" applyFont="1" applyBorder="1" applyAlignment="1">
      <alignment horizontal="right" vertical="center" wrapText="1"/>
    </xf>
    <xf numFmtId="0" fontId="0" fillId="0" borderId="15" xfId="0" applyNumberFormat="1" applyFont="1" applyBorder="1" applyAlignment="1">
      <alignment horizontal="center" vertical="center" wrapText="1"/>
    </xf>
    <xf numFmtId="49" fontId="8" fillId="0" borderId="0" xfId="0" applyNumberFormat="1" applyFont="1">
      <alignment vertical="top"/>
    </xf>
    <xf numFmtId="49" fontId="8" fillId="0" borderId="4" xfId="0" applyNumberFormat="1" applyFont="1" applyBorder="1" applyAlignment="1">
      <alignment horizontal="center" vertical="center" wrapText="1"/>
    </xf>
    <xf numFmtId="168" fontId="0" fillId="14" borderId="4" xfId="0" applyNumberFormat="1" applyFont="1" applyFill="1" applyBorder="1" applyAlignment="1" applyProtection="1">
      <alignment horizontal="center" vertical="center" wrapText="1"/>
      <protection locked="0"/>
    </xf>
    <xf numFmtId="49" fontId="0" fillId="14" borderId="4" xfId="0" applyNumberFormat="1" applyFont="1" applyFill="1" applyBorder="1" applyAlignment="1" applyProtection="1">
      <alignment horizontal="center" vertical="center" wrapText="1"/>
      <protection locked="0"/>
    </xf>
    <xf numFmtId="0" fontId="40" fillId="0" borderId="0" xfId="0" applyNumberFormat="1" applyFont="1">
      <alignment vertical="top"/>
    </xf>
    <xf numFmtId="49" fontId="0" fillId="9" borderId="4" xfId="0" applyNumberFormat="1" applyFont="1" applyFill="1" applyBorder="1" applyAlignment="1">
      <alignment horizontal="center" vertical="center" wrapText="1"/>
    </xf>
    <xf numFmtId="0" fontId="116" fillId="14" borderId="6" xfId="0" applyNumberFormat="1" applyFont="1" applyFill="1" applyBorder="1" applyAlignment="1" applyProtection="1">
      <alignment horizontal="left" vertical="center" wrapText="1" indent="2"/>
      <protection locked="0"/>
    </xf>
    <xf numFmtId="49" fontId="39" fillId="0" borderId="0" xfId="0" applyNumberFormat="1" applyFont="1" applyAlignment="1">
      <alignment horizontal="center" vertical="center" wrapText="1"/>
    </xf>
    <xf numFmtId="0" fontId="30" fillId="0" borderId="16" xfId="0" applyNumberFormat="1" applyFont="1" applyBorder="1" applyAlignment="1">
      <alignment horizontal="center" vertical="center" wrapText="1"/>
    </xf>
    <xf numFmtId="49" fontId="8" fillId="14" borderId="9" xfId="0" applyNumberFormat="1" applyFont="1" applyFill="1" applyBorder="1" applyAlignment="1" applyProtection="1">
      <alignment horizontal="left" vertical="center" wrapText="1" indent="1"/>
      <protection locked="0"/>
    </xf>
    <xf numFmtId="0" fontId="8" fillId="0" borderId="16" xfId="0" applyNumberFormat="1" applyFont="1" applyBorder="1" applyAlignment="1">
      <alignment vertical="top" wrapText="1"/>
    </xf>
    <xf numFmtId="49" fontId="33" fillId="13" borderId="5" xfId="0" applyNumberFormat="1" applyFont="1" applyFill="1" applyBorder="1" applyAlignment="1">
      <alignment horizontal="left" vertical="center" indent="1"/>
    </xf>
    <xf numFmtId="49" fontId="8" fillId="0" borderId="28" xfId="0" applyNumberFormat="1" applyFont="1" applyBorder="1" applyAlignment="1">
      <alignment horizontal="center" vertical="top" wrapText="1"/>
    </xf>
    <xf numFmtId="0" fontId="0" fillId="11" borderId="28" xfId="0" applyNumberFormat="1" applyFont="1" applyFill="1" applyBorder="1" applyAlignment="1">
      <alignment horizontal="left" vertical="top" wrapText="1" indent="1"/>
    </xf>
    <xf numFmtId="49" fontId="8" fillId="15" borderId="28" xfId="0" applyNumberFormat="1" applyFont="1" applyFill="1" applyBorder="1" applyAlignment="1">
      <alignment horizontal="center" vertical="top" wrapText="1"/>
    </xf>
    <xf numFmtId="49" fontId="0" fillId="14" borderId="28" xfId="0" applyNumberFormat="1" applyFont="1" applyFill="1" applyBorder="1" applyAlignment="1" applyProtection="1">
      <alignment horizontal="center" vertical="top" wrapText="1"/>
      <protection locked="0"/>
    </xf>
    <xf numFmtId="49" fontId="0" fillId="6" borderId="28" xfId="0" applyNumberFormat="1" applyFont="1" applyFill="1" applyBorder="1" applyAlignment="1" applyProtection="1">
      <alignment horizontal="center" vertical="top" wrapText="1"/>
      <protection locked="0"/>
    </xf>
    <xf numFmtId="49" fontId="8" fillId="15" borderId="28" xfId="0" applyNumberFormat="1" applyFont="1" applyFill="1" applyBorder="1" applyAlignment="1">
      <alignment horizontal="left" vertical="top" wrapText="1"/>
    </xf>
    <xf numFmtId="49" fontId="8" fillId="14" borderId="28" xfId="0" applyNumberFormat="1" applyFont="1" applyFill="1" applyBorder="1" applyAlignment="1" applyProtection="1">
      <alignment horizontal="left" vertical="top" wrapText="1"/>
      <protection locked="0"/>
    </xf>
    <xf numFmtId="49" fontId="0" fillId="11" borderId="28" xfId="0" applyNumberFormat="1" applyFont="1" applyFill="1" applyBorder="1" applyAlignment="1">
      <alignment horizontal="center" vertical="top" wrapText="1"/>
    </xf>
    <xf numFmtId="0" fontId="8" fillId="11" borderId="28" xfId="0" applyNumberFormat="1" applyFont="1" applyFill="1" applyBorder="1" applyAlignment="1">
      <alignment horizontal="center" vertical="top" wrapText="1"/>
    </xf>
    <xf numFmtId="0" fontId="8" fillId="6" borderId="28" xfId="0" applyNumberFormat="1" applyFont="1" applyFill="1" applyBorder="1" applyAlignment="1" applyProtection="1">
      <alignment horizontal="left" vertical="top" wrapText="1"/>
      <protection locked="0"/>
    </xf>
    <xf numFmtId="49" fontId="40" fillId="0" borderId="0" xfId="0" applyNumberFormat="1" applyFont="1" applyAlignment="1">
      <alignment horizontal="center" vertical="center" wrapText="1"/>
    </xf>
    <xf numFmtId="0" fontId="93" fillId="0" borderId="40" xfId="0" applyNumberFormat="1" applyFont="1" applyBorder="1" applyAlignment="1">
      <alignment horizontal="left" vertical="center" indent="1"/>
    </xf>
    <xf numFmtId="0" fontId="93" fillId="0" borderId="41" xfId="0" applyNumberFormat="1" applyFont="1" applyBorder="1" applyAlignment="1">
      <alignment horizontal="left" vertical="center" indent="1"/>
    </xf>
    <xf numFmtId="0" fontId="0" fillId="0" borderId="41" xfId="0" applyNumberFormat="1" applyFont="1" applyBorder="1" applyAlignment="1">
      <alignment horizontal="left" vertical="center" wrapText="1"/>
    </xf>
    <xf numFmtId="0" fontId="8" fillId="0" borderId="41" xfId="0" applyNumberFormat="1" applyFont="1" applyBorder="1" applyAlignment="1">
      <alignment vertical="center" wrapText="1"/>
    </xf>
    <xf numFmtId="0" fontId="8" fillId="0" borderId="46" xfId="0" applyNumberFormat="1" applyFont="1" applyBorder="1" applyAlignment="1">
      <alignment vertical="center" wrapText="1"/>
    </xf>
    <xf numFmtId="0" fontId="8" fillId="0" borderId="47" xfId="0" applyNumberFormat="1" applyFont="1" applyBorder="1" applyAlignment="1">
      <alignment vertical="center" wrapText="1"/>
    </xf>
    <xf numFmtId="0" fontId="8" fillId="0" borderId="30" xfId="0" applyNumberFormat="1" applyFont="1" applyBorder="1" applyAlignment="1">
      <alignment vertical="center" wrapText="1"/>
    </xf>
    <xf numFmtId="49" fontId="95" fillId="13" borderId="35" xfId="0" applyNumberFormat="1" applyFont="1" applyFill="1" applyBorder="1" applyAlignment="1">
      <alignment horizontal="left" vertical="center" indent="1"/>
    </xf>
    <xf numFmtId="49" fontId="84" fillId="13" borderId="35" xfId="0" applyNumberFormat="1" applyFont="1" applyFill="1" applyBorder="1" applyAlignment="1">
      <alignment horizontal="center" vertical="center"/>
    </xf>
    <xf numFmtId="0" fontId="8" fillId="0" borderId="0" xfId="0" applyNumberFormat="1" applyFont="1" applyAlignment="1">
      <alignment vertical="center" wrapText="1"/>
    </xf>
    <xf numFmtId="49" fontId="95" fillId="13" borderId="7" xfId="0" applyNumberFormat="1" applyFont="1" applyFill="1" applyBorder="1" applyAlignment="1">
      <alignment horizontal="left" vertical="center" indent="1"/>
    </xf>
    <xf numFmtId="49" fontId="117" fillId="13" borderId="7" xfId="0" applyNumberFormat="1" applyFont="1" applyFill="1" applyBorder="1" applyAlignment="1">
      <alignment vertical="top" wrapText="1"/>
    </xf>
    <xf numFmtId="49" fontId="117" fillId="13" borderId="5" xfId="0" applyNumberFormat="1" applyFont="1" applyFill="1" applyBorder="1" applyAlignment="1">
      <alignment vertical="top" wrapText="1"/>
    </xf>
    <xf numFmtId="0" fontId="117" fillId="15" borderId="4" xfId="0" applyNumberFormat="1" applyFont="1" applyFill="1" applyBorder="1" applyAlignment="1">
      <alignment horizontal="left" vertical="center" wrapText="1" indent="1"/>
    </xf>
    <xf numFmtId="4" fontId="8" fillId="14" borderId="23" xfId="0" applyNumberFormat="1" applyFont="1" applyFill="1" applyBorder="1" applyAlignment="1" applyProtection="1">
      <alignment horizontal="right" vertical="center" wrapText="1"/>
      <protection locked="0"/>
    </xf>
    <xf numFmtId="49" fontId="33" fillId="13" borderId="7" xfId="0" applyNumberFormat="1" applyFont="1" applyFill="1" applyBorder="1" applyAlignment="1">
      <alignment horizontal="left" vertical="center" indent="1"/>
    </xf>
    <xf numFmtId="49" fontId="117" fillId="13" borderId="44" xfId="0" applyNumberFormat="1" applyFont="1" applyFill="1" applyBorder="1" applyAlignment="1">
      <alignment vertical="top" wrapText="1"/>
    </xf>
    <xf numFmtId="49" fontId="33" fillId="13" borderId="7" xfId="0" applyNumberFormat="1" applyFont="1" applyFill="1" applyBorder="1" applyAlignment="1">
      <alignment horizontal="left" vertical="center" indent="1"/>
    </xf>
    <xf numFmtId="49" fontId="95" fillId="13" borderId="44" xfId="0" applyNumberFormat="1" applyFont="1" applyFill="1" applyBorder="1" applyAlignment="1">
      <alignment horizontal="left" vertical="center" indent="1"/>
    </xf>
    <xf numFmtId="0" fontId="0" fillId="13" borderId="42" xfId="0" applyNumberFormat="1" applyFont="1" applyFill="1" applyBorder="1" applyAlignment="1">
      <alignment horizontal="left" vertical="center"/>
    </xf>
    <xf numFmtId="0" fontId="8" fillId="13" borderId="42" xfId="0" applyNumberFormat="1" applyFont="1" applyFill="1" applyBorder="1" applyAlignment="1">
      <alignment vertical="center" wrapText="1"/>
    </xf>
    <xf numFmtId="0" fontId="8" fillId="13" borderId="43" xfId="0" applyNumberFormat="1" applyFont="1" applyFill="1" applyBorder="1" applyAlignment="1">
      <alignment vertical="center" wrapText="1"/>
    </xf>
    <xf numFmtId="0" fontId="8" fillId="13" borderId="45" xfId="0" applyNumberFormat="1" applyFont="1" applyFill="1" applyBorder="1" applyAlignment="1">
      <alignment vertical="center" wrapText="1"/>
    </xf>
    <xf numFmtId="49" fontId="0" fillId="11" borderId="28" xfId="0" applyNumberFormat="1" applyFont="1" applyFill="1" applyBorder="1">
      <alignment vertical="top"/>
    </xf>
    <xf numFmtId="49" fontId="0" fillId="0" borderId="28" xfId="0" applyNumberFormat="1" applyFont="1" applyBorder="1">
      <alignment vertical="top"/>
    </xf>
    <xf numFmtId="49" fontId="113" fillId="15" borderId="9" xfId="0" applyNumberFormat="1" applyFont="1" applyFill="1" applyBorder="1" applyAlignment="1">
      <alignment vertical="center" wrapText="1"/>
    </xf>
    <xf numFmtId="49" fontId="0" fillId="14" borderId="28" xfId="0" applyNumberFormat="1" applyFont="1" applyFill="1" applyBorder="1" applyProtection="1">
      <alignment vertical="top"/>
      <protection locked="0"/>
    </xf>
    <xf numFmtId="49" fontId="0" fillId="14" borderId="9" xfId="0" applyNumberFormat="1" applyFont="1" applyFill="1" applyBorder="1" applyProtection="1">
      <alignment vertical="top"/>
      <protection locked="0"/>
    </xf>
    <xf numFmtId="14" fontId="8" fillId="15" borderId="28" xfId="0" applyNumberFormat="1" applyFont="1" applyFill="1" applyBorder="1" applyAlignment="1">
      <alignment horizontal="left" vertical="center" wrapText="1" indent="1"/>
    </xf>
    <xf numFmtId="49" fontId="113" fillId="15" borderId="28" xfId="0" applyNumberFormat="1" applyFont="1" applyFill="1" applyBorder="1" applyAlignment="1">
      <alignment vertical="center" wrapText="1"/>
    </xf>
    <xf numFmtId="4" fontId="8" fillId="14" borderId="25" xfId="0" applyNumberFormat="1" applyFont="1" applyFill="1" applyBorder="1" applyAlignment="1" applyProtection="1">
      <alignment horizontal="right" vertical="center" wrapText="1"/>
      <protection locked="0"/>
    </xf>
    <xf numFmtId="49" fontId="113" fillId="15" borderId="15" xfId="0" applyNumberFormat="1" applyFont="1" applyFill="1" applyBorder="1" applyAlignment="1">
      <alignment vertical="center" wrapText="1"/>
    </xf>
    <xf numFmtId="49" fontId="0" fillId="14" borderId="15" xfId="0" applyNumberFormat="1" applyFont="1" applyFill="1" applyBorder="1" applyProtection="1">
      <alignment vertical="top"/>
      <protection locked="0"/>
    </xf>
    <xf numFmtId="49" fontId="89" fillId="0" borderId="0" xfId="0" applyNumberFormat="1" applyFont="1" applyAlignment="1">
      <alignment vertical="center"/>
    </xf>
    <xf numFmtId="49" fontId="38" fillId="0" borderId="0" xfId="0" applyNumberFormat="1" applyFont="1" applyAlignment="1">
      <alignment vertical="center"/>
    </xf>
    <xf numFmtId="49" fontId="38" fillId="9" borderId="0" xfId="0" applyNumberFormat="1" applyFont="1" applyFill="1" applyAlignment="1">
      <alignment vertical="center"/>
    </xf>
    <xf numFmtId="0" fontId="93" fillId="0" borderId="39" xfId="0" applyNumberFormat="1" applyFont="1" applyBorder="1" applyAlignment="1">
      <alignment horizontal="left" vertical="center" indent="1"/>
    </xf>
    <xf numFmtId="49" fontId="8" fillId="0" borderId="48" xfId="0" applyNumberFormat="1" applyFont="1" applyBorder="1" applyAlignment="1">
      <alignment horizontal="center" vertical="center"/>
    </xf>
    <xf numFmtId="0" fontId="8" fillId="0" borderId="48" xfId="0" applyNumberFormat="1" applyFont="1" applyBorder="1" applyAlignment="1">
      <alignment horizontal="right" vertical="center"/>
    </xf>
    <xf numFmtId="0" fontId="8" fillId="0" borderId="48" xfId="0" applyNumberFormat="1" applyFont="1" applyBorder="1" applyAlignment="1">
      <alignment horizontal="center" vertical="center"/>
    </xf>
    <xf numFmtId="0" fontId="8" fillId="0" borderId="7" xfId="0" applyNumberFormat="1" applyFont="1" applyBorder="1" applyAlignment="1">
      <alignment horizontal="right" vertical="center"/>
    </xf>
    <xf numFmtId="0" fontId="113" fillId="15" borderId="4" xfId="0" applyNumberFormat="1" applyFont="1" applyFill="1" applyBorder="1" applyAlignment="1">
      <alignment horizontal="left" vertical="center" wrapText="1" indent="1"/>
    </xf>
    <xf numFmtId="0" fontId="113" fillId="14" borderId="4" xfId="0" applyNumberFormat="1" applyFont="1" applyFill="1" applyBorder="1" applyAlignment="1" applyProtection="1">
      <alignment horizontal="left" vertical="center" wrapText="1" indent="1"/>
      <protection locked="0"/>
    </xf>
    <xf numFmtId="0" fontId="8" fillId="6" borderId="4" xfId="0" applyNumberFormat="1" applyFont="1" applyFill="1" applyBorder="1" applyAlignment="1" applyProtection="1">
      <alignment horizontal="left" vertical="center" indent="1"/>
      <protection locked="0"/>
    </xf>
    <xf numFmtId="0" fontId="8" fillId="7" borderId="4" xfId="0" applyNumberFormat="1" applyFont="1" applyFill="1" applyBorder="1" applyAlignment="1">
      <alignment horizontal="right" vertical="center"/>
    </xf>
    <xf numFmtId="3" fontId="8" fillId="6" borderId="4" xfId="0" applyNumberFormat="1" applyFont="1" applyFill="1" applyBorder="1" applyAlignment="1" applyProtection="1">
      <alignment horizontal="right" vertical="center"/>
      <protection locked="0"/>
    </xf>
    <xf numFmtId="4" fontId="8" fillId="6" borderId="4" xfId="0" applyNumberFormat="1" applyFont="1" applyFill="1" applyBorder="1" applyAlignment="1" applyProtection="1">
      <alignment horizontal="right" vertical="center"/>
      <protection locked="0"/>
    </xf>
    <xf numFmtId="49" fontId="33" fillId="13" borderId="49" xfId="0" applyNumberFormat="1" applyFont="1" applyFill="1" applyBorder="1" applyAlignment="1">
      <alignment horizontal="left" vertical="center" indent="1"/>
    </xf>
    <xf numFmtId="49" fontId="33" fillId="13" borderId="43" xfId="0" applyNumberFormat="1" applyFont="1" applyFill="1" applyBorder="1" applyAlignment="1">
      <alignment horizontal="left" vertical="center" indent="1"/>
    </xf>
    <xf numFmtId="49" fontId="33" fillId="13" borderId="43" xfId="0" applyNumberFormat="1" applyFont="1" applyFill="1" applyBorder="1" applyAlignment="1">
      <alignment horizontal="left" vertical="center" indent="1"/>
    </xf>
    <xf numFmtId="0" fontId="0" fillId="0" borderId="0" xfId="0" applyNumberFormat="1" applyFont="1">
      <alignment vertical="top"/>
    </xf>
    <xf numFmtId="0" fontId="8" fillId="0" borderId="5" xfId="0" applyNumberFormat="1" applyFont="1" applyBorder="1" applyAlignment="1">
      <alignment horizontal="left" vertical="center" wrapText="1" indent="1"/>
    </xf>
    <xf numFmtId="49" fontId="40" fillId="0" borderId="14" xfId="0" applyNumberFormat="1" applyFont="1" applyBorder="1">
      <alignment vertical="top"/>
    </xf>
    <xf numFmtId="0" fontId="39" fillId="0" borderId="0" xfId="0" applyNumberFormat="1" applyFont="1">
      <alignment vertical="top"/>
    </xf>
    <xf numFmtId="0" fontId="64" fillId="0" borderId="0" xfId="0" applyNumberFormat="1" applyFont="1">
      <alignment vertical="top"/>
    </xf>
    <xf numFmtId="0" fontId="77" fillId="0" borderId="0" xfId="0" applyNumberFormat="1" applyFont="1">
      <alignment vertical="top"/>
    </xf>
    <xf numFmtId="4" fontId="8" fillId="11" borderId="4" xfId="0" applyNumberFormat="1" applyFont="1" applyFill="1" applyBorder="1" applyAlignment="1">
      <alignment horizontal="right" vertical="center" wrapText="1"/>
    </xf>
    <xf numFmtId="2" fontId="8" fillId="0" borderId="15" xfId="0" applyNumberFormat="1" applyFont="1" applyBorder="1" applyAlignment="1">
      <alignment horizontal="center" vertical="center" wrapText="1"/>
    </xf>
    <xf numFmtId="0" fontId="8" fillId="0" borderId="4" xfId="0" applyNumberFormat="1" applyFont="1" applyBorder="1" applyAlignment="1">
      <alignment horizontal="left" vertical="center" wrapText="1"/>
    </xf>
    <xf numFmtId="0" fontId="40" fillId="0" borderId="4" xfId="0" applyNumberFormat="1" applyFont="1" applyBorder="1" applyAlignment="1">
      <alignment horizontal="left" vertical="center" wrapText="1"/>
    </xf>
    <xf numFmtId="0" fontId="40" fillId="0" borderId="4" xfId="0" applyNumberFormat="1" applyFont="1" applyBorder="1" applyAlignment="1">
      <alignment vertical="center" wrapText="1"/>
    </xf>
    <xf numFmtId="0" fontId="40" fillId="0" borderId="14" xfId="0" applyNumberFormat="1" applyFont="1" applyBorder="1" applyAlignment="1">
      <alignment vertical="center" wrapText="1"/>
    </xf>
    <xf numFmtId="49" fontId="33" fillId="13" borderId="6" xfId="0" applyNumberFormat="1" applyFont="1" applyFill="1" applyBorder="1" applyAlignment="1">
      <alignment horizontal="left" vertical="center"/>
    </xf>
    <xf numFmtId="49" fontId="33" fillId="13" borderId="7" xfId="0" applyNumberFormat="1" applyFont="1" applyFill="1" applyBorder="1" applyAlignment="1">
      <alignment horizontal="left" vertical="center" indent="1"/>
    </xf>
    <xf numFmtId="49" fontId="33" fillId="13" borderId="7" xfId="0" applyNumberFormat="1" applyFont="1" applyFill="1" applyBorder="1" applyAlignment="1">
      <alignment horizontal="left" vertical="center"/>
    </xf>
    <xf numFmtId="0" fontId="33" fillId="0" borderId="4" xfId="0" applyNumberFormat="1" applyFont="1" applyBorder="1" applyAlignment="1">
      <alignment horizontal="left" vertical="center" indent="1"/>
    </xf>
    <xf numFmtId="0" fontId="40" fillId="0" borderId="15" xfId="0" applyNumberFormat="1" applyFont="1" applyBorder="1" applyAlignment="1">
      <alignment vertical="center" wrapText="1"/>
    </xf>
    <xf numFmtId="4" fontId="40" fillId="0" borderId="4" xfId="0" applyNumberFormat="1" applyFont="1" applyBorder="1" applyAlignment="1">
      <alignment horizontal="right" vertical="center" wrapText="1"/>
    </xf>
    <xf numFmtId="2" fontId="40" fillId="0" borderId="15" xfId="0" applyNumberFormat="1" applyFont="1" applyBorder="1" applyAlignment="1">
      <alignment horizontal="center" vertical="center" wrapText="1"/>
    </xf>
    <xf numFmtId="49" fontId="40" fillId="0" borderId="6" xfId="0" applyNumberFormat="1" applyFont="1" applyBorder="1" applyAlignment="1">
      <alignment horizontal="left" vertical="center"/>
    </xf>
    <xf numFmtId="49" fontId="40" fillId="0" borderId="7" xfId="0" applyNumberFormat="1" applyFont="1" applyBorder="1" applyAlignment="1">
      <alignment horizontal="left" vertical="center" indent="1"/>
    </xf>
    <xf numFmtId="49" fontId="40" fillId="0" borderId="7" xfId="0" applyNumberFormat="1" applyFont="1" applyBorder="1" applyAlignment="1">
      <alignment horizontal="left" vertical="center"/>
    </xf>
    <xf numFmtId="49" fontId="40" fillId="0" borderId="5" xfId="0" applyNumberFormat="1" applyFont="1" applyBorder="1" applyAlignment="1">
      <alignment horizontal="left" vertical="center" indent="1"/>
    </xf>
    <xf numFmtId="0" fontId="40" fillId="0" borderId="4" xfId="0" applyNumberFormat="1" applyFont="1" applyBorder="1" applyAlignment="1">
      <alignment horizontal="left" vertical="center" indent="1"/>
    </xf>
    <xf numFmtId="49" fontId="0" fillId="0" borderId="11" xfId="0" applyNumberFormat="1" applyFont="1" applyBorder="1">
      <alignment vertical="top"/>
    </xf>
    <xf numFmtId="0" fontId="8" fillId="0" borderId="4" xfId="0" applyNumberFormat="1" applyFont="1" applyBorder="1" applyAlignment="1">
      <alignment vertical="center" wrapText="1"/>
    </xf>
    <xf numFmtId="49" fontId="0" fillId="0" borderId="5" xfId="0" applyNumberFormat="1" applyFont="1" applyBorder="1" applyAlignment="1">
      <alignment horizontal="center" vertical="center" wrapText="1"/>
    </xf>
    <xf numFmtId="0" fontId="0" fillId="0" borderId="4" xfId="0" applyNumberFormat="1" applyFont="1" applyBorder="1" applyAlignment="1">
      <alignment horizontal="left" vertical="center" wrapText="1"/>
    </xf>
    <xf numFmtId="49" fontId="0" fillId="0" borderId="4" xfId="0" applyNumberFormat="1" applyFont="1" applyBorder="1" applyAlignment="1">
      <alignment horizontal="center" vertical="center"/>
    </xf>
    <xf numFmtId="4" fontId="0" fillId="11" borderId="4" xfId="0" applyNumberFormat="1" applyFont="1" applyFill="1" applyBorder="1" applyAlignment="1">
      <alignment horizontal="right" vertical="center" wrapText="1"/>
    </xf>
    <xf numFmtId="0" fontId="0" fillId="0" borderId="4" xfId="0" applyNumberFormat="1" applyFont="1" applyBorder="1" applyAlignment="1">
      <alignment vertical="center" wrapText="1"/>
    </xf>
    <xf numFmtId="49" fontId="0" fillId="0" borderId="22" xfId="0" applyNumberFormat="1" applyFont="1" applyBorder="1" applyAlignment="1">
      <alignment horizontal="center" vertical="center" wrapText="1"/>
    </xf>
    <xf numFmtId="49" fontId="0" fillId="14" borderId="4" xfId="0" applyNumberFormat="1" applyFont="1" applyFill="1" applyBorder="1" applyAlignment="1" applyProtection="1">
      <alignment horizontal="left" vertical="center" wrapText="1"/>
      <protection locked="0"/>
    </xf>
    <xf numFmtId="4" fontId="0" fillId="14" borderId="4" xfId="0" applyNumberFormat="1" applyFont="1" applyFill="1" applyBorder="1" applyAlignment="1" applyProtection="1">
      <alignment horizontal="right" vertical="center" wrapText="1"/>
      <protection locked="0"/>
    </xf>
    <xf numFmtId="4" fontId="39" fillId="0" borderId="4" xfId="0" applyNumberFormat="1" applyFont="1" applyBorder="1" applyAlignment="1">
      <alignment horizontal="right" vertical="center" wrapText="1"/>
    </xf>
    <xf numFmtId="49" fontId="0" fillId="13" borderId="19" xfId="0" applyNumberFormat="1" applyFont="1" applyFill="1" applyBorder="1" applyAlignment="1">
      <alignment horizontal="center" vertical="center"/>
    </xf>
    <xf numFmtId="49" fontId="0" fillId="13" borderId="7" xfId="0" applyNumberFormat="1" applyFont="1" applyFill="1" applyBorder="1" applyAlignment="1">
      <alignment horizontal="center" vertical="center"/>
    </xf>
    <xf numFmtId="49" fontId="33" fillId="13" borderId="7" xfId="0" applyNumberFormat="1" applyFont="1" applyFill="1" applyBorder="1" applyAlignment="1">
      <alignment horizontal="left" vertical="center"/>
    </xf>
    <xf numFmtId="49" fontId="33" fillId="13" borderId="5" xfId="0" applyNumberFormat="1" applyFont="1" applyFill="1" applyBorder="1" applyAlignment="1">
      <alignment horizontal="left" vertical="center" indent="1"/>
    </xf>
    <xf numFmtId="49" fontId="0" fillId="0" borderId="14" xfId="0" applyNumberFormat="1" applyFont="1" applyBorder="1">
      <alignment vertical="top"/>
    </xf>
    <xf numFmtId="49" fontId="0" fillId="0" borderId="16" xfId="0" applyNumberFormat="1" applyFont="1" applyBorder="1">
      <alignment vertical="top"/>
    </xf>
    <xf numFmtId="49" fontId="0" fillId="0" borderId="0" xfId="0" applyNumberFormat="1" applyFont="1" applyAlignment="1">
      <alignment horizontal="left" vertical="top"/>
    </xf>
    <xf numFmtId="49" fontId="0" fillId="0" borderId="0" xfId="0" applyNumberFormat="1" applyFont="1" applyAlignment="1">
      <alignment vertical="center"/>
    </xf>
    <xf numFmtId="0" fontId="8" fillId="0" borderId="0" xfId="0" applyNumberFormat="1" applyFont="1" applyAlignment="1">
      <alignment horizontal="left" vertical="center" indent="1"/>
    </xf>
    <xf numFmtId="0" fontId="0" fillId="0" borderId="0" xfId="0" applyNumberFormat="1" applyFont="1" applyAlignment="1">
      <alignment horizontal="left" vertical="center" indent="1"/>
    </xf>
    <xf numFmtId="0" fontId="33" fillId="13" borderId="6" xfId="0" applyNumberFormat="1" applyFont="1" applyFill="1" applyBorder="1" applyAlignment="1">
      <alignment horizontal="left" vertical="center"/>
    </xf>
    <xf numFmtId="0" fontId="33" fillId="13" borderId="7" xfId="0" applyNumberFormat="1" applyFont="1" applyFill="1" applyBorder="1" applyAlignment="1">
      <alignment horizontal="left" vertical="center"/>
    </xf>
    <xf numFmtId="0" fontId="33" fillId="13" borderId="5" xfId="0" applyNumberFormat="1" applyFont="1" applyFill="1" applyBorder="1" applyAlignment="1">
      <alignment horizontal="left" vertical="center"/>
    </xf>
    <xf numFmtId="0" fontId="8" fillId="0" borderId="0" xfId="0" applyNumberFormat="1" applyFont="1" applyAlignment="1">
      <alignment vertical="center"/>
    </xf>
    <xf numFmtId="0" fontId="0" fillId="13" borderId="7" xfId="0" applyNumberFormat="1" applyFont="1" applyFill="1" applyBorder="1" applyAlignment="1">
      <alignment vertical="center"/>
    </xf>
    <xf numFmtId="49" fontId="0" fillId="0" borderId="28" xfId="0" applyNumberFormat="1" applyFont="1" applyBorder="1" applyAlignment="1">
      <alignment horizontal="left" vertical="top"/>
    </xf>
    <xf numFmtId="49" fontId="0" fillId="15" borderId="28" xfId="0" applyNumberFormat="1" applyFont="1" applyFill="1" applyBorder="1" applyAlignment="1">
      <alignment horizontal="left" vertical="top"/>
    </xf>
    <xf numFmtId="49" fontId="0" fillId="6" borderId="28" xfId="0" applyNumberFormat="1" applyFont="1" applyFill="1" applyBorder="1" applyAlignment="1" applyProtection="1">
      <alignment horizontal="left" vertical="top"/>
      <protection locked="0"/>
    </xf>
    <xf numFmtId="49" fontId="8" fillId="15" borderId="0" xfId="0" applyNumberFormat="1" applyFont="1" applyFill="1" applyAlignment="1">
      <alignment horizontal="center" vertical="center" wrapText="1"/>
    </xf>
    <xf numFmtId="0" fontId="33" fillId="0" borderId="28" xfId="0" applyNumberFormat="1" applyFont="1" applyBorder="1" applyAlignment="1">
      <alignment horizontal="left" vertical="center"/>
    </xf>
    <xf numFmtId="49" fontId="0" fillId="15" borderId="28" xfId="0" applyNumberFormat="1" applyFont="1" applyFill="1" applyBorder="1" applyAlignment="1" applyProtection="1">
      <alignment horizontal="left" vertical="center" wrapText="1"/>
      <protection locked="0"/>
    </xf>
    <xf numFmtId="0" fontId="33" fillId="6" borderId="28" xfId="0" applyNumberFormat="1" applyFont="1" applyFill="1" applyBorder="1" applyAlignment="1" applyProtection="1">
      <alignment horizontal="left" vertical="center"/>
      <protection locked="0"/>
    </xf>
    <xf numFmtId="0" fontId="33" fillId="14" borderId="28" xfId="0" applyNumberFormat="1" applyFont="1" applyFill="1" applyBorder="1" applyAlignment="1" applyProtection="1">
      <alignment horizontal="left" vertical="center"/>
      <protection locked="0"/>
    </xf>
    <xf numFmtId="49" fontId="40" fillId="0" borderId="6" xfId="0" applyNumberFormat="1" applyFont="1" applyBorder="1" applyAlignment="1">
      <alignment horizontal="left" vertical="center" wrapText="1"/>
    </xf>
    <xf numFmtId="0" fontId="40" fillId="0" borderId="6" xfId="0" applyNumberFormat="1" applyFont="1" applyBorder="1" applyAlignment="1">
      <alignment horizontal="left" vertical="center"/>
    </xf>
    <xf numFmtId="0" fontId="40" fillId="0" borderId="7" xfId="0" applyNumberFormat="1" applyFont="1" applyBorder="1" applyAlignment="1">
      <alignment horizontal="left" vertical="center"/>
    </xf>
    <xf numFmtId="0" fontId="33" fillId="13" borderId="22" xfId="0" applyNumberFormat="1" applyFont="1" applyFill="1" applyBorder="1" applyAlignment="1">
      <alignment horizontal="left" vertical="center"/>
    </xf>
    <xf numFmtId="49" fontId="0" fillId="6" borderId="28" xfId="0" applyNumberFormat="1" applyFont="1" applyFill="1" applyBorder="1" applyProtection="1">
      <alignment vertical="top"/>
      <protection locked="0"/>
    </xf>
    <xf numFmtId="0" fontId="0" fillId="0" borderId="0" xfId="0" applyNumberFormat="1" applyFont="1" applyAlignment="1">
      <alignment vertical="center"/>
    </xf>
    <xf numFmtId="49" fontId="8" fillId="0" borderId="12" xfId="0" applyNumberFormat="1" applyFont="1" applyBorder="1" applyAlignment="1">
      <alignment horizontal="left" vertical="center" wrapText="1"/>
    </xf>
    <xf numFmtId="49" fontId="8" fillId="0" borderId="0" xfId="0" applyNumberFormat="1" applyFont="1" applyAlignment="1">
      <alignment horizontal="center" vertical="center" wrapText="1"/>
    </xf>
    <xf numFmtId="0" fontId="33" fillId="0" borderId="0" xfId="0" applyNumberFormat="1" applyFont="1" applyAlignment="1">
      <alignment horizontal="left" vertical="center"/>
    </xf>
    <xf numFmtId="0" fontId="33" fillId="0" borderId="16" xfId="0" applyNumberFormat="1" applyFont="1" applyBorder="1" applyAlignment="1">
      <alignment horizontal="left" vertical="center"/>
    </xf>
    <xf numFmtId="0" fontId="33" fillId="0" borderId="19" xfId="0" applyNumberFormat="1" applyFont="1" applyBorder="1" applyAlignment="1">
      <alignment horizontal="left" vertical="center"/>
    </xf>
    <xf numFmtId="0" fontId="33" fillId="0" borderId="20" xfId="0" applyNumberFormat="1" applyFont="1" applyBorder="1" applyAlignment="1">
      <alignment horizontal="left" vertical="center"/>
    </xf>
    <xf numFmtId="0" fontId="0" fillId="0" borderId="20" xfId="0" applyNumberFormat="1" applyFont="1" applyBorder="1" applyAlignment="1">
      <alignment vertical="center"/>
    </xf>
    <xf numFmtId="0" fontId="33" fillId="0" borderId="22" xfId="0" applyNumberFormat="1" applyFont="1" applyBorder="1" applyAlignment="1">
      <alignment horizontal="left" vertical="center"/>
    </xf>
    <xf numFmtId="49" fontId="8" fillId="0" borderId="9" xfId="0" applyNumberFormat="1" applyFont="1" applyBorder="1" applyAlignment="1">
      <alignment horizontal="left" vertical="center" wrapText="1"/>
    </xf>
    <xf numFmtId="49" fontId="8" fillId="15" borderId="9" xfId="0" applyNumberFormat="1" applyFont="1" applyFill="1" applyBorder="1" applyAlignment="1">
      <alignment vertical="center" wrapText="1"/>
    </xf>
    <xf numFmtId="49" fontId="8" fillId="0" borderId="28" xfId="0" applyNumberFormat="1" applyFont="1" applyBorder="1" applyAlignment="1">
      <alignment horizontal="left" vertical="center" wrapText="1"/>
    </xf>
    <xf numFmtId="0" fontId="33" fillId="0" borderId="15" xfId="0" applyNumberFormat="1" applyFont="1" applyBorder="1" applyAlignment="1">
      <alignment horizontal="left" vertical="center"/>
    </xf>
    <xf numFmtId="0" fontId="33" fillId="13" borderId="6" xfId="0" applyNumberFormat="1" applyFont="1" applyFill="1" applyBorder="1" applyAlignment="1">
      <alignment horizontal="left" vertical="center"/>
    </xf>
    <xf numFmtId="0" fontId="33" fillId="13" borderId="29" xfId="0" applyNumberFormat="1" applyFont="1" applyFill="1" applyBorder="1" applyAlignment="1">
      <alignment vertical="center"/>
    </xf>
    <xf numFmtId="0" fontId="33" fillId="13" borderId="29" xfId="0" applyNumberFormat="1" applyFont="1" applyFill="1" applyBorder="1" applyAlignment="1">
      <alignment horizontal="left" vertical="center"/>
    </xf>
    <xf numFmtId="49" fontId="57" fillId="13" borderId="6" xfId="0" applyNumberFormat="1" applyFont="1" applyFill="1" applyBorder="1">
      <alignment vertical="top"/>
    </xf>
    <xf numFmtId="49" fontId="57" fillId="13" borderId="7" xfId="0" applyNumberFormat="1" applyFont="1" applyFill="1" applyBorder="1">
      <alignment vertical="top"/>
    </xf>
    <xf numFmtId="49" fontId="8" fillId="0" borderId="11" xfId="0" applyNumberFormat="1" applyFont="1" applyBorder="1" applyAlignment="1">
      <alignment vertical="center" wrapText="1"/>
    </xf>
    <xf numFmtId="0" fontId="33" fillId="0" borderId="0" xfId="0" applyNumberFormat="1" applyFont="1" applyAlignment="1">
      <alignment vertical="center"/>
    </xf>
    <xf numFmtId="0" fontId="33" fillId="0" borderId="14" xfId="0" applyNumberFormat="1" applyFont="1" applyBorder="1" applyAlignment="1">
      <alignment horizontal="left" vertical="center"/>
    </xf>
    <xf numFmtId="49" fontId="57" fillId="0" borderId="19" xfId="0" applyNumberFormat="1" applyFont="1" applyBorder="1">
      <alignment vertical="top"/>
    </xf>
    <xf numFmtId="49" fontId="57" fillId="0" borderId="20" xfId="0" applyNumberFormat="1" applyFont="1" applyBorder="1">
      <alignment vertical="top"/>
    </xf>
    <xf numFmtId="49" fontId="13" fillId="14" borderId="5" xfId="0" applyNumberFormat="1" applyFont="1" applyFill="1" applyBorder="1" applyAlignment="1" applyProtection="1">
      <alignment horizontal="left" vertical="center" wrapText="1"/>
      <protection locked="0"/>
    </xf>
    <xf numFmtId="49" fontId="13" fillId="14" borderId="4" xfId="0" applyNumberFormat="1" applyFont="1" applyFill="1" applyBorder="1" applyAlignment="1" applyProtection="1">
      <alignment horizontal="left" vertical="center" wrapText="1"/>
      <protection locked="0"/>
    </xf>
    <xf numFmtId="49" fontId="13" fillId="14" borderId="4" xfId="0" applyNumberFormat="1" applyFont="1" applyFill="1" applyBorder="1" applyAlignment="1" applyProtection="1">
      <alignment horizontal="left" vertical="center" wrapText="1"/>
      <protection locked="0"/>
    </xf>
    <xf numFmtId="49" fontId="0" fillId="0" borderId="6" xfId="0" applyNumberFormat="1" applyFont="1" applyBorder="1">
      <alignment vertical="top"/>
    </xf>
    <xf numFmtId="49" fontId="0" fillId="17" borderId="9" xfId="0" applyNumberFormat="1" applyFont="1" applyFill="1" applyBorder="1">
      <alignment vertical="top"/>
    </xf>
    <xf numFmtId="49" fontId="0" fillId="18" borderId="4" xfId="0" applyNumberFormat="1" applyFont="1" applyFill="1" applyBorder="1">
      <alignment vertical="top"/>
    </xf>
    <xf numFmtId="49" fontId="0" fillId="0" borderId="7" xfId="0" applyNumberFormat="1" applyFont="1" applyBorder="1" applyAlignment="1">
      <alignment horizontal="center" vertical="top"/>
    </xf>
    <xf numFmtId="49" fontId="0" fillId="2" borderId="4" xfId="0" applyNumberFormat="1" applyFont="1" applyFill="1" applyBorder="1">
      <alignment vertical="top"/>
    </xf>
    <xf numFmtId="49" fontId="0" fillId="19" borderId="4" xfId="0" applyNumberFormat="1" applyFont="1" applyFill="1" applyBorder="1">
      <alignment vertical="top"/>
    </xf>
    <xf numFmtId="49" fontId="0" fillId="4" borderId="9" xfId="0" applyNumberFormat="1" applyFont="1" applyFill="1" applyBorder="1">
      <alignment vertical="top"/>
    </xf>
    <xf numFmtId="49" fontId="0" fillId="3" borderId="6" xfId="0" applyNumberFormat="1" applyFont="1" applyFill="1" applyBorder="1">
      <alignment vertical="top"/>
    </xf>
    <xf numFmtId="49" fontId="0" fillId="3" borderId="4" xfId="0" applyNumberFormat="1" applyFont="1" applyFill="1" applyBorder="1">
      <alignment vertical="top"/>
    </xf>
    <xf numFmtId="49" fontId="0" fillId="4" borderId="4" xfId="0" applyNumberFormat="1" applyFont="1" applyFill="1" applyBorder="1">
      <alignment vertical="top"/>
    </xf>
    <xf numFmtId="49" fontId="0" fillId="0" borderId="0" xfId="0" applyNumberFormat="1" applyFont="1">
      <alignment vertical="top"/>
    </xf>
    <xf numFmtId="49" fontId="0" fillId="0" borderId="0" xfId="0" applyNumberFormat="1" applyFont="1">
      <alignment vertical="top"/>
    </xf>
    <xf numFmtId="49" fontId="0" fillId="0" borderId="0" xfId="30" applyNumberFormat="1" applyFont="1" applyFill="1">
      <alignment vertical="top"/>
    </xf>
    <xf numFmtId="0" fontId="7" fillId="20" borderId="30" xfId="0" applyNumberFormat="1" applyFont="1" applyFill="1" applyBorder="1" applyAlignment="1">
      <alignment horizontal="right" vertical="center" wrapText="1" indent="1"/>
    </xf>
    <xf numFmtId="0" fontId="7" fillId="20" borderId="0" xfId="0" applyNumberFormat="1" applyFont="1" applyFill="1" applyAlignment="1">
      <alignment horizontal="right" vertical="center" wrapText="1" indent="1"/>
    </xf>
    <xf numFmtId="0" fontId="111" fillId="0" borderId="0" xfId="0" applyNumberFormat="1" applyFont="1" applyAlignment="1">
      <alignment vertical="center" wrapText="1"/>
    </xf>
    <xf numFmtId="0" fontId="7" fillId="20" borderId="60" xfId="0" applyNumberFormat="1" applyFont="1" applyFill="1" applyBorder="1" applyAlignment="1">
      <alignment horizontal="right" vertical="center" wrapText="1" indent="1"/>
    </xf>
    <xf numFmtId="0" fontId="7" fillId="20" borderId="56" xfId="0" applyNumberFormat="1" applyFont="1" applyFill="1" applyBorder="1" applyAlignment="1">
      <alignment horizontal="right" vertical="center" wrapText="1" indent="1"/>
    </xf>
    <xf numFmtId="0" fontId="7" fillId="20" borderId="31" xfId="0" applyNumberFormat="1" applyFont="1" applyFill="1" applyBorder="1" applyAlignment="1">
      <alignment horizontal="right" vertical="center" wrapText="1" indent="1"/>
    </xf>
    <xf numFmtId="0" fontId="111" fillId="0" borderId="0" xfId="0" applyNumberFormat="1" applyFont="1" applyAlignment="1">
      <alignment vertical="top" wrapText="1"/>
    </xf>
    <xf numFmtId="49" fontId="56" fillId="0" borderId="0" xfId="0" applyNumberFormat="1" applyFont="1" applyAlignment="1">
      <alignment vertical="top" wrapText="1"/>
    </xf>
    <xf numFmtId="0" fontId="92" fillId="0" borderId="0" xfId="0" applyNumberFormat="1" applyFont="1" applyAlignment="1">
      <alignment vertical="center" wrapText="1"/>
    </xf>
    <xf numFmtId="0" fontId="92" fillId="0" borderId="0" xfId="0" applyNumberFormat="1" applyFont="1" applyAlignment="1">
      <alignment vertical="center"/>
    </xf>
    <xf numFmtId="0" fontId="7" fillId="8" borderId="57" xfId="0" applyNumberFormat="1" applyFont="1" applyFill="1" applyBorder="1" applyAlignment="1">
      <alignment horizontal="center" vertical="center" wrapText="1"/>
    </xf>
    <xf numFmtId="0" fontId="7" fillId="8" borderId="58" xfId="0" applyNumberFormat="1" applyFont="1" applyFill="1" applyBorder="1" applyAlignment="1">
      <alignment horizontal="center" vertical="center" wrapText="1"/>
    </xf>
    <xf numFmtId="0" fontId="7" fillId="8" borderId="59" xfId="0" applyNumberFormat="1" applyFont="1" applyFill="1" applyBorder="1" applyAlignment="1">
      <alignment horizontal="center" vertical="center" wrapText="1"/>
    </xf>
    <xf numFmtId="0" fontId="111" fillId="0" borderId="30" xfId="0" applyNumberFormat="1" applyFont="1" applyBorder="1" applyAlignment="1">
      <alignment vertical="center" wrapText="1"/>
    </xf>
    <xf numFmtId="0" fontId="111" fillId="0" borderId="30" xfId="0" applyNumberFormat="1" applyFont="1" applyBorder="1" applyAlignment="1">
      <alignment horizontal="left" vertical="center" wrapText="1"/>
    </xf>
    <xf numFmtId="0" fontId="111" fillId="0" borderId="0" xfId="0" applyNumberFormat="1" applyFont="1" applyAlignment="1">
      <alignment horizontal="left" vertical="center" wrapText="1"/>
    </xf>
    <xf numFmtId="0" fontId="8" fillId="0" borderId="5" xfId="0" applyNumberFormat="1" applyFont="1" applyBorder="1" applyAlignment="1">
      <alignment horizontal="center" vertical="center" wrapText="1"/>
    </xf>
    <xf numFmtId="0" fontId="8" fillId="0" borderId="6" xfId="0" applyNumberFormat="1" applyFont="1" applyBorder="1" applyAlignment="1">
      <alignment horizontal="center" vertical="center" wrapText="1"/>
    </xf>
    <xf numFmtId="0" fontId="86" fillId="0" borderId="0" xfId="33" applyFont="1" applyAlignment="1">
      <alignment horizontal="left" vertical="center" wrapText="1"/>
    </xf>
    <xf numFmtId="14" fontId="83" fillId="0" borderId="4" xfId="33" applyNumberFormat="1" applyFont="1" applyBorder="1" applyAlignment="1">
      <alignment horizontal="center" vertical="center" wrapText="1"/>
    </xf>
    <xf numFmtId="0" fontId="8" fillId="0" borderId="0" xfId="0" applyNumberFormat="1" applyFont="1" applyAlignment="1">
      <alignment horizontal="center" vertical="center" wrapText="1"/>
    </xf>
    <xf numFmtId="0" fontId="8" fillId="0" borderId="7" xfId="0" applyNumberFormat="1" applyFont="1" applyBorder="1" applyAlignment="1">
      <alignment horizontal="left" vertical="center" wrapText="1" indent="1"/>
    </xf>
    <xf numFmtId="0" fontId="8" fillId="0" borderId="7" xfId="0" applyNumberFormat="1" applyFont="1" applyBorder="1" applyAlignment="1">
      <alignment horizontal="center" vertical="center" wrapText="1"/>
    </xf>
    <xf numFmtId="4" fontId="8" fillId="0" borderId="4" xfId="0" applyNumberFormat="1" applyFont="1" applyBorder="1" applyAlignment="1">
      <alignment horizontal="center" vertical="center" wrapText="1"/>
    </xf>
    <xf numFmtId="49" fontId="29" fillId="0" borderId="63" xfId="0" applyNumberFormat="1" applyFont="1" applyBorder="1" applyAlignment="1">
      <alignment horizontal="center" vertical="center" wrapText="1"/>
    </xf>
    <xf numFmtId="49" fontId="29" fillId="0" borderId="64" xfId="0" applyNumberFormat="1" applyFont="1" applyBorder="1" applyAlignment="1">
      <alignment horizontal="center" vertical="center" wrapText="1"/>
    </xf>
    <xf numFmtId="49" fontId="29" fillId="0" borderId="6" xfId="0" applyNumberFormat="1" applyFont="1" applyBorder="1" applyAlignment="1">
      <alignment horizontal="center" vertical="center" wrapText="1"/>
    </xf>
    <xf numFmtId="49" fontId="29" fillId="0" borderId="5" xfId="0" applyNumberFormat="1" applyFont="1" applyBorder="1" applyAlignment="1">
      <alignment horizontal="center" vertical="center" wrapText="1"/>
    </xf>
    <xf numFmtId="0" fontId="8" fillId="0" borderId="12" xfId="0" applyNumberFormat="1" applyFont="1" applyBorder="1" applyAlignment="1">
      <alignment horizontal="left" vertical="center" wrapText="1" indent="1"/>
    </xf>
    <xf numFmtId="0" fontId="8" fillId="0" borderId="9" xfId="0" applyNumberFormat="1" applyFont="1" applyBorder="1" applyAlignment="1">
      <alignment horizontal="left" vertical="center" wrapText="1" indent="1"/>
    </xf>
    <xf numFmtId="0" fontId="8" fillId="0" borderId="29" xfId="0" applyNumberFormat="1" applyFont="1" applyBorder="1" applyAlignment="1">
      <alignment horizontal="left" vertical="center" wrapText="1" indent="1"/>
    </xf>
    <xf numFmtId="0" fontId="8" fillId="0" borderId="22" xfId="0" applyNumberFormat="1" applyFont="1" applyBorder="1" applyAlignment="1">
      <alignment horizontal="left" vertical="center" indent="1"/>
    </xf>
    <xf numFmtId="0" fontId="8" fillId="0" borderId="15" xfId="0" applyNumberFormat="1" applyFont="1" applyBorder="1" applyAlignment="1">
      <alignment horizontal="left" vertical="center" indent="1"/>
    </xf>
    <xf numFmtId="0" fontId="8" fillId="0" borderId="19" xfId="0" applyNumberFormat="1" applyFont="1" applyBorder="1" applyAlignment="1">
      <alignment horizontal="left" vertical="center" indent="1"/>
    </xf>
    <xf numFmtId="0" fontId="8" fillId="16" borderId="0" xfId="0" applyNumberFormat="1" applyFont="1" applyFill="1" applyAlignment="1">
      <alignment horizontal="center" vertical="center" wrapText="1"/>
    </xf>
    <xf numFmtId="0" fontId="8" fillId="0" borderId="4" xfId="0" applyNumberFormat="1" applyFont="1" applyBorder="1" applyAlignment="1">
      <alignment horizontal="center" vertical="center" wrapText="1"/>
    </xf>
    <xf numFmtId="0" fontId="65" fillId="0" borderId="29" xfId="0" applyNumberFormat="1" applyFont="1" applyBorder="1" applyAlignment="1">
      <alignment horizontal="center" vertical="center" wrapText="1"/>
    </xf>
    <xf numFmtId="0" fontId="65" fillId="0" borderId="11" xfId="0" applyNumberFormat="1" applyFont="1" applyBorder="1" applyAlignment="1">
      <alignment horizontal="center" vertical="center" wrapText="1"/>
    </xf>
    <xf numFmtId="0" fontId="0" fillId="0" borderId="0" xfId="0" applyNumberFormat="1" applyFont="1" applyAlignment="1">
      <alignment horizontal="left" vertical="center" wrapText="1" indent="2"/>
    </xf>
    <xf numFmtId="0" fontId="0" fillId="0" borderId="0" xfId="0" applyNumberFormat="1" applyFont="1" applyAlignment="1">
      <alignment horizontal="left" vertical="center" indent="2"/>
    </xf>
    <xf numFmtId="0" fontId="65" fillId="0" borderId="4" xfId="0" applyNumberFormat="1" applyFont="1" applyBorder="1" applyAlignment="1">
      <alignment horizontal="center" vertical="center" wrapText="1"/>
    </xf>
    <xf numFmtId="0" fontId="8" fillId="0" borderId="65" xfId="0" applyNumberFormat="1" applyFont="1" applyBorder="1" applyAlignment="1">
      <alignment horizontal="center" vertical="center" wrapText="1"/>
    </xf>
    <xf numFmtId="0" fontId="8" fillId="0" borderId="66" xfId="0" applyNumberFormat="1" applyFont="1" applyBorder="1" applyAlignment="1">
      <alignment horizontal="center" vertical="center" wrapText="1"/>
    </xf>
    <xf numFmtId="0" fontId="8" fillId="9" borderId="9" xfId="0" applyNumberFormat="1" applyFont="1" applyFill="1" applyBorder="1" applyAlignment="1">
      <alignment horizontal="left" vertical="center" wrapText="1" indent="1"/>
    </xf>
    <xf numFmtId="0" fontId="8" fillId="9" borderId="15" xfId="0" applyNumberFormat="1" applyFont="1" applyFill="1" applyBorder="1" applyAlignment="1">
      <alignment horizontal="left" vertical="center" wrapText="1" indent="1"/>
    </xf>
    <xf numFmtId="49" fontId="8" fillId="15" borderId="4" xfId="0" applyNumberFormat="1" applyFont="1" applyFill="1" applyBorder="1" applyAlignment="1">
      <alignment horizontal="center" vertical="center" wrapText="1"/>
    </xf>
    <xf numFmtId="49" fontId="8" fillId="0" borderId="4" xfId="0" applyNumberFormat="1" applyFont="1" applyBorder="1" applyAlignment="1">
      <alignment horizontal="center" vertical="center" wrapText="1"/>
    </xf>
    <xf numFmtId="0" fontId="8" fillId="15" borderId="9" xfId="0" applyNumberFormat="1" applyFont="1" applyFill="1" applyBorder="1" applyAlignment="1">
      <alignment horizontal="left" vertical="center" wrapText="1" indent="2"/>
    </xf>
    <xf numFmtId="0" fontId="8" fillId="15" borderId="28" xfId="0" applyNumberFormat="1" applyFont="1" applyFill="1" applyBorder="1" applyAlignment="1">
      <alignment horizontal="left" vertical="center" wrapText="1" indent="2"/>
    </xf>
    <xf numFmtId="0" fontId="8" fillId="15" borderId="15" xfId="0" applyNumberFormat="1" applyFont="1" applyFill="1" applyBorder="1" applyAlignment="1">
      <alignment horizontal="left" vertical="center" wrapText="1" indent="2"/>
    </xf>
    <xf numFmtId="49" fontId="8" fillId="15" borderId="15" xfId="0" applyNumberFormat="1" applyFont="1" applyFill="1" applyBorder="1" applyAlignment="1">
      <alignment horizontal="center" vertical="center" wrapText="1"/>
    </xf>
    <xf numFmtId="14" fontId="71" fillId="0" borderId="62" xfId="0" applyNumberFormat="1" applyFont="1" applyBorder="1" applyAlignment="1">
      <alignment horizontal="center" vertical="center" wrapText="1"/>
    </xf>
    <xf numFmtId="0" fontId="8" fillId="0" borderId="62" xfId="0" applyNumberFormat="1" applyFont="1" applyBorder="1" applyAlignment="1">
      <alignment horizontal="center" vertical="center" wrapText="1"/>
    </xf>
    <xf numFmtId="49" fontId="8" fillId="0" borderId="11" xfId="0" applyNumberFormat="1" applyFont="1" applyBorder="1" applyAlignment="1">
      <alignment horizontal="center" vertical="center" wrapText="1"/>
    </xf>
    <xf numFmtId="49" fontId="8" fillId="0" borderId="0" xfId="0" applyNumberFormat="1" applyFont="1" applyAlignment="1">
      <alignment horizontal="center" vertical="center" wrapText="1"/>
    </xf>
    <xf numFmtId="0" fontId="0" fillId="0" borderId="4" xfId="0" applyNumberFormat="1" applyFont="1" applyBorder="1" applyAlignment="1">
      <alignment horizontal="center" vertical="top"/>
    </xf>
    <xf numFmtId="49" fontId="0" fillId="0" borderId="4" xfId="0" applyNumberFormat="1" applyFont="1" applyBorder="1">
      <alignment vertical="top"/>
    </xf>
    <xf numFmtId="0" fontId="8" fillId="0" borderId="4" xfId="0" applyNumberFormat="1" applyFont="1" applyBorder="1" applyAlignment="1">
      <alignment horizontal="left" vertical="top" wrapText="1"/>
    </xf>
    <xf numFmtId="49" fontId="0" fillId="0" borderId="4" xfId="0" applyNumberFormat="1" applyFont="1" applyBorder="1" applyAlignment="1">
      <alignment horizontal="left" vertical="top"/>
    </xf>
    <xf numFmtId="0" fontId="8" fillId="15" borderId="9" xfId="0" applyNumberFormat="1" applyFont="1" applyFill="1" applyBorder="1" applyAlignment="1">
      <alignment horizontal="center" vertical="top" wrapText="1"/>
    </xf>
    <xf numFmtId="0" fontId="8" fillId="15" borderId="28" xfId="0" applyNumberFormat="1" applyFont="1" applyFill="1" applyBorder="1" applyAlignment="1">
      <alignment horizontal="center" vertical="top" wrapText="1"/>
    </xf>
    <xf numFmtId="0" fontId="8" fillId="15" borderId="15" xfId="0" applyNumberFormat="1" applyFont="1" applyFill="1" applyBorder="1" applyAlignment="1">
      <alignment horizontal="center" vertical="top" wrapText="1"/>
    </xf>
    <xf numFmtId="0" fontId="8" fillId="15" borderId="4" xfId="0" applyNumberFormat="1" applyFont="1" applyFill="1" applyBorder="1" applyAlignment="1">
      <alignment horizontal="left" vertical="top" wrapText="1"/>
    </xf>
    <xf numFmtId="49" fontId="0" fillId="15" borderId="4" xfId="0" applyNumberFormat="1" applyFont="1" applyFill="1" applyBorder="1" applyAlignment="1">
      <alignment horizontal="left" vertical="top"/>
    </xf>
    <xf numFmtId="0" fontId="0" fillId="0" borderId="29" xfId="0" applyNumberFormat="1" applyFont="1" applyBorder="1" applyAlignment="1">
      <alignment horizontal="center" vertical="center"/>
    </xf>
    <xf numFmtId="0" fontId="0" fillId="0" borderId="14" xfId="0" applyNumberFormat="1" applyFont="1" applyBorder="1" applyAlignment="1">
      <alignment horizontal="center" vertical="center"/>
    </xf>
    <xf numFmtId="0" fontId="0" fillId="0" borderId="11" xfId="0" applyNumberFormat="1" applyFont="1" applyBorder="1" applyAlignment="1">
      <alignment horizontal="center" vertical="center"/>
    </xf>
    <xf numFmtId="0" fontId="0" fillId="0" borderId="0" xfId="0" applyNumberFormat="1" applyFont="1" applyAlignment="1">
      <alignment horizontal="center" vertical="center"/>
    </xf>
    <xf numFmtId="49" fontId="8" fillId="0" borderId="11" xfId="0" applyNumberFormat="1" applyFont="1" applyBorder="1" applyAlignment="1">
      <alignment horizontal="left" vertical="center" wrapText="1"/>
    </xf>
    <xf numFmtId="49" fontId="8" fillId="0" borderId="0" xfId="0" applyNumberFormat="1" applyFont="1" applyAlignment="1">
      <alignment horizontal="left" vertical="center" wrapText="1"/>
    </xf>
    <xf numFmtId="49" fontId="0" fillId="0" borderId="0" xfId="0" applyNumberFormat="1" applyFont="1" applyAlignment="1">
      <alignment horizontal="left" vertical="top"/>
    </xf>
    <xf numFmtId="0" fontId="0" fillId="0" borderId="11" xfId="0" applyNumberFormat="1" applyFont="1" applyBorder="1" applyAlignment="1">
      <alignment horizontal="left" vertical="center" wrapText="1"/>
    </xf>
    <xf numFmtId="0" fontId="0" fillId="0" borderId="0" xfId="0" applyNumberFormat="1" applyFont="1" applyAlignment="1">
      <alignment horizontal="left" vertical="center" wrapText="1"/>
    </xf>
    <xf numFmtId="49" fontId="0" fillId="0" borderId="0" xfId="0" applyNumberFormat="1" applyFont="1" applyAlignment="1">
      <alignment horizontal="left" vertical="center" wrapText="1"/>
    </xf>
    <xf numFmtId="49" fontId="0" fillId="0" borderId="11" xfId="0" applyNumberFormat="1" applyFont="1" applyBorder="1" applyAlignment="1">
      <alignment horizontal="left" vertical="center" wrapText="1"/>
    </xf>
    <xf numFmtId="0" fontId="0" fillId="0" borderId="0" xfId="0" quotePrefix="1" applyNumberFormat="1" applyFont="1" applyAlignment="1">
      <alignment horizontal="left" vertical="top" wrapText="1" indent="1"/>
    </xf>
    <xf numFmtId="0" fontId="0" fillId="0" borderId="0" xfId="0" applyNumberFormat="1" applyFont="1" applyAlignment="1">
      <alignment horizontal="left" vertical="top" wrapText="1" indent="1"/>
    </xf>
    <xf numFmtId="0" fontId="0" fillId="0" borderId="0" xfId="0" applyNumberFormat="1" applyFont="1" applyAlignment="1">
      <alignment horizontal="left" vertical="top" wrapText="1"/>
    </xf>
    <xf numFmtId="0" fontId="0" fillId="0" borderId="9" xfId="0" applyNumberFormat="1" applyFont="1" applyBorder="1" applyAlignment="1">
      <alignment horizontal="center" vertical="top"/>
    </xf>
    <xf numFmtId="0" fontId="0" fillId="0" borderId="28" xfId="0" applyNumberFormat="1" applyFont="1" applyBorder="1" applyAlignment="1">
      <alignment horizontal="center" vertical="top"/>
    </xf>
    <xf numFmtId="0" fontId="0" fillId="0" borderId="15" xfId="0" applyNumberFormat="1" applyFont="1" applyBorder="1" applyAlignment="1">
      <alignment horizontal="center" vertical="top"/>
    </xf>
    <xf numFmtId="0" fontId="8" fillId="0" borderId="9" xfId="0" applyNumberFormat="1" applyFont="1" applyBorder="1" applyAlignment="1">
      <alignment horizontal="left" vertical="top" wrapText="1"/>
    </xf>
    <xf numFmtId="0" fontId="8" fillId="0" borderId="28" xfId="0" applyNumberFormat="1" applyFont="1" applyBorder="1" applyAlignment="1">
      <alignment horizontal="left" vertical="top" wrapText="1"/>
    </xf>
    <xf numFmtId="0" fontId="8" fillId="0" borderId="15" xfId="0" applyNumberFormat="1" applyFont="1" applyBorder="1" applyAlignment="1">
      <alignment horizontal="left" vertical="top" wrapText="1"/>
    </xf>
    <xf numFmtId="0" fontId="8" fillId="15" borderId="9" xfId="0" applyNumberFormat="1" applyFont="1" applyFill="1" applyBorder="1" applyAlignment="1">
      <alignment horizontal="left" vertical="top" wrapText="1"/>
    </xf>
    <xf numFmtId="0" fontId="8" fillId="15" borderId="28" xfId="0" applyNumberFormat="1" applyFont="1" applyFill="1" applyBorder="1" applyAlignment="1">
      <alignment horizontal="left" vertical="top" wrapText="1"/>
    </xf>
    <xf numFmtId="0" fontId="8" fillId="15" borderId="15" xfId="0" applyNumberFormat="1" applyFont="1" applyFill="1" applyBorder="1" applyAlignment="1">
      <alignment horizontal="left" vertical="top" wrapText="1"/>
    </xf>
    <xf numFmtId="49" fontId="40" fillId="9" borderId="20" xfId="0" applyNumberFormat="1" applyFont="1" applyFill="1" applyBorder="1" applyAlignment="1">
      <alignment horizontal="center" vertical="center" wrapText="1"/>
    </xf>
    <xf numFmtId="0" fontId="63" fillId="0" borderId="16" xfId="0" applyNumberFormat="1" applyFont="1" applyBorder="1" applyAlignment="1">
      <alignment horizontal="left" vertical="center" wrapText="1" indent="1"/>
    </xf>
    <xf numFmtId="0" fontId="63" fillId="0" borderId="28" xfId="0" applyNumberFormat="1" applyFont="1" applyBorder="1" applyAlignment="1">
      <alignment horizontal="left" vertical="center" wrapText="1" indent="1"/>
    </xf>
    <xf numFmtId="0" fontId="63" fillId="0" borderId="14" xfId="0" applyNumberFormat="1" applyFont="1" applyBorder="1" applyAlignment="1">
      <alignment horizontal="left" vertical="center" wrapText="1" indent="1"/>
    </xf>
    <xf numFmtId="0" fontId="8" fillId="0" borderId="20" xfId="0" applyNumberFormat="1" applyFont="1" applyBorder="1" applyAlignment="1">
      <alignment horizontal="left" vertical="center" indent="1"/>
    </xf>
    <xf numFmtId="0" fontId="0" fillId="0" borderId="4" xfId="0" applyNumberFormat="1" applyFont="1" applyBorder="1" applyAlignment="1">
      <alignment horizontal="center" vertical="center" wrapText="1"/>
    </xf>
    <xf numFmtId="0" fontId="7" fillId="0" borderId="11" xfId="0" applyNumberFormat="1" applyFont="1" applyBorder="1" applyAlignment="1">
      <alignment horizontal="left" vertical="center" wrapText="1" indent="1"/>
    </xf>
    <xf numFmtId="0" fontId="8" fillId="0" borderId="9" xfId="0" applyNumberFormat="1" applyFont="1" applyBorder="1" applyAlignment="1">
      <alignment horizontal="center" vertical="center" wrapText="1"/>
    </xf>
    <xf numFmtId="0" fontId="8" fillId="0" borderId="29" xfId="0" applyNumberFormat="1" applyFont="1" applyBorder="1" applyAlignment="1">
      <alignment horizontal="center" vertical="center" wrapText="1"/>
    </xf>
    <xf numFmtId="0" fontId="8" fillId="0" borderId="12" xfId="0" applyNumberFormat="1" applyFont="1" applyBorder="1" applyAlignment="1">
      <alignment horizontal="center" vertical="center" wrapText="1"/>
    </xf>
    <xf numFmtId="0" fontId="8" fillId="0" borderId="14" xfId="0" applyNumberFormat="1" applyFont="1" applyBorder="1" applyAlignment="1">
      <alignment horizontal="center" vertical="center" wrapText="1"/>
    </xf>
    <xf numFmtId="0" fontId="8" fillId="0" borderId="16" xfId="0" applyNumberFormat="1" applyFont="1" applyBorder="1" applyAlignment="1">
      <alignment horizontal="center" vertical="center" wrapText="1"/>
    </xf>
    <xf numFmtId="0" fontId="8" fillId="0" borderId="28" xfId="0" applyNumberFormat="1" applyFont="1" applyBorder="1" applyAlignment="1">
      <alignment horizontal="center" vertical="center" wrapText="1"/>
    </xf>
    <xf numFmtId="0" fontId="8" fillId="0" borderId="19" xfId="0" applyNumberFormat="1" applyFont="1" applyBorder="1" applyAlignment="1">
      <alignment horizontal="center" vertical="center" wrapText="1"/>
    </xf>
    <xf numFmtId="0" fontId="8" fillId="0" borderId="22" xfId="0" applyNumberFormat="1" applyFont="1" applyBorder="1" applyAlignment="1">
      <alignment horizontal="center" vertical="center" wrapText="1"/>
    </xf>
    <xf numFmtId="49" fontId="8" fillId="0" borderId="4" xfId="0" applyNumberFormat="1" applyFont="1" applyBorder="1" applyAlignment="1">
      <alignment horizontal="center" vertical="center"/>
    </xf>
    <xf numFmtId="49" fontId="8" fillId="0" borderId="9" xfId="0" applyNumberFormat="1" applyFont="1" applyBorder="1" applyAlignment="1">
      <alignment horizontal="center" vertical="center"/>
    </xf>
    <xf numFmtId="0" fontId="8" fillId="0" borderId="4" xfId="0" applyNumberFormat="1" applyFont="1" applyBorder="1" applyAlignment="1">
      <alignment horizontal="left" vertical="center" wrapText="1"/>
    </xf>
    <xf numFmtId="0" fontId="8" fillId="0" borderId="9" xfId="0" applyNumberFormat="1" applyFont="1" applyBorder="1" applyAlignment="1">
      <alignment horizontal="left" vertical="center" wrapText="1"/>
    </xf>
    <xf numFmtId="0" fontId="8" fillId="0" borderId="29" xfId="0" applyNumberFormat="1" applyFont="1" applyBorder="1" applyAlignment="1">
      <alignment horizontal="left" vertical="center" wrapText="1"/>
    </xf>
    <xf numFmtId="49" fontId="8" fillId="15" borderId="9" xfId="0" applyNumberFormat="1" applyFont="1" applyFill="1" applyBorder="1" applyAlignment="1">
      <alignment horizontal="center" vertical="center" wrapText="1"/>
    </xf>
    <xf numFmtId="49" fontId="8" fillId="15" borderId="28" xfId="0" applyNumberFormat="1" applyFont="1" applyFill="1" applyBorder="1" applyAlignment="1">
      <alignment horizontal="center" vertical="center" wrapText="1"/>
    </xf>
    <xf numFmtId="0" fontId="8" fillId="0" borderId="11" xfId="0" applyNumberFormat="1" applyFont="1" applyBorder="1" applyAlignment="1">
      <alignment horizontal="center" vertical="center"/>
    </xf>
    <xf numFmtId="0" fontId="8" fillId="0" borderId="0" xfId="0" applyNumberFormat="1" applyFont="1" applyAlignment="1">
      <alignment horizontal="center" vertical="center"/>
    </xf>
    <xf numFmtId="0" fontId="33" fillId="0" borderId="20" xfId="0" applyNumberFormat="1" applyFont="1" applyBorder="1" applyAlignment="1">
      <alignment horizontal="left" vertical="center"/>
    </xf>
    <xf numFmtId="0" fontId="33" fillId="0" borderId="22" xfId="0" applyNumberFormat="1" applyFont="1" applyBorder="1" applyAlignment="1">
      <alignment horizontal="left" vertical="center"/>
    </xf>
    <xf numFmtId="0" fontId="33" fillId="0" borderId="0" xfId="0" applyNumberFormat="1" applyFont="1" applyAlignment="1">
      <alignment horizontal="left" vertical="center"/>
    </xf>
    <xf numFmtId="0" fontId="33" fillId="0" borderId="16" xfId="0" applyNumberFormat="1" applyFont="1" applyBorder="1" applyAlignment="1">
      <alignment horizontal="left" vertical="center"/>
    </xf>
    <xf numFmtId="0" fontId="8" fillId="0" borderId="6" xfId="0" applyNumberFormat="1" applyFont="1" applyBorder="1" applyAlignment="1">
      <alignment horizontal="left" vertical="center" wrapText="1"/>
    </xf>
    <xf numFmtId="0" fontId="7" fillId="0" borderId="20" xfId="0" applyNumberFormat="1" applyFont="1" applyBorder="1" applyAlignment="1">
      <alignment horizontal="left" vertical="center" wrapText="1" indent="1"/>
    </xf>
    <xf numFmtId="49" fontId="8" fillId="9" borderId="0" xfId="0" applyNumberFormat="1" applyFont="1" applyFill="1" applyAlignment="1">
      <alignment horizontal="center" vertical="center" wrapText="1"/>
    </xf>
    <xf numFmtId="0" fontId="38" fillId="0" borderId="0" xfId="33" applyFont="1" applyAlignment="1">
      <alignment horizontal="right" vertical="top" wrapText="1"/>
    </xf>
    <xf numFmtId="49" fontId="0" fillId="9" borderId="4" xfId="34" applyNumberFormat="1" applyFont="1" applyFill="1" applyBorder="1" applyAlignment="1">
      <alignment horizontal="center" vertical="center" wrapText="1"/>
    </xf>
    <xf numFmtId="49" fontId="8" fillId="9" borderId="4" xfId="34" applyNumberFormat="1" applyFont="1" applyFill="1" applyBorder="1" applyAlignment="1">
      <alignment horizontal="center" vertical="center" wrapText="1"/>
    </xf>
    <xf numFmtId="0" fontId="8" fillId="9" borderId="0" xfId="0" applyNumberFormat="1" applyFont="1" applyFill="1" applyAlignment="1">
      <alignment horizontal="center" vertical="center" wrapText="1"/>
    </xf>
    <xf numFmtId="0" fontId="38" fillId="0" borderId="0" xfId="33" applyFont="1" applyAlignment="1">
      <alignment horizontal="left" vertical="top" wrapText="1" indent="1"/>
    </xf>
    <xf numFmtId="0" fontId="83" fillId="9" borderId="0" xfId="0" applyNumberFormat="1" applyFont="1" applyFill="1" applyAlignment="1">
      <alignment horizontal="left" vertical="center" wrapText="1"/>
    </xf>
    <xf numFmtId="0" fontId="0" fillId="9" borderId="4" xfId="0" applyNumberFormat="1" applyFont="1" applyFill="1" applyBorder="1" applyAlignment="1">
      <alignment horizontal="center" vertical="center" wrapText="1"/>
    </xf>
    <xf numFmtId="0" fontId="8" fillId="9" borderId="4" xfId="0" applyNumberFormat="1" applyFont="1" applyFill="1" applyBorder="1" applyAlignment="1">
      <alignment horizontal="center" vertical="center" wrapText="1"/>
    </xf>
    <xf numFmtId="0" fontId="8" fillId="9" borderId="16" xfId="0" applyNumberFormat="1" applyFont="1" applyFill="1" applyBorder="1" applyAlignment="1">
      <alignment horizontal="center" vertical="center" wrapText="1"/>
    </xf>
    <xf numFmtId="0" fontId="8" fillId="0" borderId="20" xfId="0" applyNumberFormat="1" applyFont="1" applyBorder="1" applyAlignment="1">
      <alignment horizontal="left" vertical="center" wrapText="1" indent="1"/>
    </xf>
    <xf numFmtId="0" fontId="8" fillId="9" borderId="9" xfId="0" applyNumberFormat="1" applyFont="1" applyFill="1" applyBorder="1" applyAlignment="1">
      <alignment horizontal="left" vertical="top" wrapText="1"/>
    </xf>
    <xf numFmtId="0" fontId="8" fillId="9" borderId="28" xfId="0" applyNumberFormat="1" applyFont="1" applyFill="1" applyBorder="1" applyAlignment="1">
      <alignment horizontal="left" vertical="top" wrapText="1"/>
    </xf>
    <xf numFmtId="0" fontId="8" fillId="9" borderId="15" xfId="0" applyNumberFormat="1" applyFont="1" applyFill="1" applyBorder="1" applyAlignment="1">
      <alignment horizontal="left" vertical="top" wrapText="1"/>
    </xf>
    <xf numFmtId="0" fontId="0" fillId="0" borderId="6" xfId="0" applyNumberFormat="1" applyFont="1" applyBorder="1" applyAlignment="1">
      <alignment horizontal="center" vertical="center" wrapText="1"/>
    </xf>
    <xf numFmtId="0" fontId="0" fillId="0" borderId="9" xfId="0" applyNumberFormat="1" applyFont="1" applyBorder="1" applyAlignment="1">
      <alignment horizontal="center" vertical="center" wrapText="1"/>
    </xf>
    <xf numFmtId="0" fontId="0" fillId="0" borderId="15" xfId="0" applyNumberFormat="1" applyFont="1" applyBorder="1" applyAlignment="1">
      <alignment horizontal="center" vertical="center" wrapText="1"/>
    </xf>
    <xf numFmtId="0" fontId="0" fillId="0" borderId="12" xfId="0" applyNumberFormat="1" applyFont="1" applyBorder="1" applyAlignment="1">
      <alignment horizontal="center" vertical="center" wrapText="1"/>
    </xf>
    <xf numFmtId="0" fontId="0" fillId="0" borderId="22" xfId="0" applyNumberFormat="1" applyFont="1" applyBorder="1" applyAlignment="1">
      <alignment horizontal="center" vertical="center" wrapText="1"/>
    </xf>
    <xf numFmtId="0" fontId="0" fillId="0" borderId="29" xfId="0" applyNumberFormat="1" applyFont="1" applyBorder="1" applyAlignment="1">
      <alignment horizontal="center" vertical="center" wrapText="1"/>
    </xf>
    <xf numFmtId="0" fontId="0" fillId="0" borderId="19" xfId="0" applyNumberFormat="1" applyFont="1" applyBorder="1" applyAlignment="1">
      <alignment horizontal="center" vertical="center" wrapText="1"/>
    </xf>
    <xf numFmtId="0" fontId="0" fillId="0" borderId="9" xfId="0" applyNumberFormat="1" applyFont="1" applyBorder="1" applyAlignment="1">
      <alignment horizontal="left" vertical="top" wrapText="1"/>
    </xf>
    <xf numFmtId="0" fontId="0" fillId="0" borderId="15" xfId="0" applyNumberFormat="1" applyFont="1" applyBorder="1" applyAlignment="1">
      <alignment horizontal="left" vertical="top" wrapText="1"/>
    </xf>
    <xf numFmtId="0" fontId="8" fillId="0" borderId="22" xfId="0" applyNumberFormat="1" applyFont="1" applyBorder="1" applyAlignment="1">
      <alignment horizontal="left" vertical="center" wrapText="1" indent="1"/>
    </xf>
    <xf numFmtId="0" fontId="8" fillId="0" borderId="15" xfId="0" applyNumberFormat="1" applyFont="1" applyBorder="1" applyAlignment="1">
      <alignment horizontal="left" vertical="center" wrapText="1" indent="1"/>
    </xf>
    <xf numFmtId="0" fontId="8" fillId="0" borderId="19" xfId="0" applyNumberFormat="1" applyFont="1" applyBorder="1" applyAlignment="1">
      <alignment horizontal="left" vertical="center" wrapText="1" indent="1"/>
    </xf>
    <xf numFmtId="0" fontId="39" fillId="0" borderId="0" xfId="0" applyNumberFormat="1" applyFont="1" applyAlignment="1">
      <alignment horizontal="center" vertical="center" wrapText="1"/>
    </xf>
    <xf numFmtId="0" fontId="0" fillId="0" borderId="7" xfId="0" applyNumberFormat="1" applyFont="1" applyBorder="1" applyAlignment="1">
      <alignment horizontal="center" vertical="center" wrapText="1"/>
    </xf>
    <xf numFmtId="0" fontId="0" fillId="0" borderId="5" xfId="0" applyNumberFormat="1" applyFont="1" applyBorder="1" applyAlignment="1">
      <alignment horizontal="center" vertical="center" wrapText="1"/>
    </xf>
    <xf numFmtId="49" fontId="0" fillId="0" borderId="29" xfId="0" applyNumberFormat="1" applyFont="1" applyBorder="1" applyAlignment="1">
      <alignment horizontal="center" vertical="center" wrapText="1"/>
    </xf>
    <xf numFmtId="49" fontId="0" fillId="0" borderId="19" xfId="0" applyNumberFormat="1" applyFont="1" applyBorder="1" applyAlignment="1">
      <alignment horizontal="center" vertical="center" wrapText="1"/>
    </xf>
    <xf numFmtId="0" fontId="8" fillId="15" borderId="11" xfId="0" applyNumberFormat="1" applyFont="1" applyFill="1" applyBorder="1" applyAlignment="1">
      <alignment horizontal="left" vertical="center" wrapText="1"/>
    </xf>
    <xf numFmtId="0" fontId="8" fillId="15" borderId="20" xfId="0" applyNumberFormat="1" applyFont="1" applyFill="1" applyBorder="1" applyAlignment="1">
      <alignment horizontal="left" vertical="center" wrapText="1"/>
    </xf>
    <xf numFmtId="0" fontId="8" fillId="0" borderId="15" xfId="0" applyNumberFormat="1" applyFont="1" applyBorder="1" applyAlignment="1">
      <alignment horizontal="center" vertical="center" wrapText="1"/>
    </xf>
    <xf numFmtId="0" fontId="0" fillId="0" borderId="28" xfId="0" applyNumberFormat="1" applyFont="1" applyBorder="1" applyAlignment="1">
      <alignment horizontal="left" vertical="top" wrapText="1"/>
    </xf>
    <xf numFmtId="49" fontId="85" fillId="0" borderId="4" xfId="0" applyNumberFormat="1" applyFont="1" applyBorder="1" applyAlignment="1">
      <alignment horizontal="center" vertical="top" wrapText="1"/>
    </xf>
    <xf numFmtId="0" fontId="85" fillId="7" borderId="4" xfId="0" applyNumberFormat="1" applyFont="1" applyFill="1" applyBorder="1" applyAlignment="1">
      <alignment horizontal="center" vertical="center" wrapText="1"/>
    </xf>
    <xf numFmtId="49" fontId="85" fillId="0" borderId="29" xfId="0" applyNumberFormat="1" applyFont="1" applyBorder="1" applyAlignment="1">
      <alignment horizontal="center" vertical="top" wrapText="1"/>
    </xf>
    <xf numFmtId="49" fontId="85" fillId="0" borderId="19" xfId="0" applyNumberFormat="1" applyFont="1" applyBorder="1" applyAlignment="1">
      <alignment horizontal="center" vertical="top" wrapText="1"/>
    </xf>
    <xf numFmtId="49" fontId="85" fillId="0" borderId="6" xfId="0" applyNumberFormat="1" applyFont="1" applyBorder="1" applyAlignment="1">
      <alignment horizontal="center" vertical="top" wrapText="1"/>
    </xf>
    <xf numFmtId="49" fontId="85" fillId="0" borderId="7" xfId="0" applyNumberFormat="1" applyFont="1" applyBorder="1" applyAlignment="1">
      <alignment horizontal="center" vertical="top" wrapText="1"/>
    </xf>
    <xf numFmtId="49" fontId="85" fillId="0" borderId="5" xfId="0" applyNumberFormat="1" applyFont="1" applyBorder="1" applyAlignment="1">
      <alignment horizontal="center" vertical="top" wrapText="1"/>
    </xf>
    <xf numFmtId="49" fontId="85" fillId="0" borderId="9" xfId="0" applyNumberFormat="1" applyFont="1" applyBorder="1" applyAlignment="1">
      <alignment horizontal="center" vertical="top" wrapText="1"/>
    </xf>
    <xf numFmtId="49" fontId="85" fillId="0" borderId="28" xfId="0" applyNumberFormat="1" applyFont="1" applyBorder="1" applyAlignment="1">
      <alignment horizontal="center" vertical="top" wrapText="1"/>
    </xf>
    <xf numFmtId="49" fontId="85" fillId="0" borderId="15" xfId="0" applyNumberFormat="1" applyFont="1" applyBorder="1" applyAlignment="1">
      <alignment horizontal="center" vertical="top" wrapText="1"/>
    </xf>
    <xf numFmtId="49" fontId="8" fillId="0" borderId="4" xfId="0" applyNumberFormat="1" applyFont="1" applyBorder="1" applyAlignment="1">
      <alignment horizontal="center" vertical="top" wrapText="1"/>
    </xf>
    <xf numFmtId="0" fontId="0" fillId="11" borderId="4" xfId="0" applyNumberFormat="1" applyFont="1" applyFill="1" applyBorder="1" applyAlignment="1">
      <alignment horizontal="left" vertical="top" wrapText="1" indent="1"/>
    </xf>
    <xf numFmtId="49" fontId="8" fillId="15" borderId="9" xfId="0" applyNumberFormat="1" applyFont="1" applyFill="1" applyBorder="1" applyAlignment="1">
      <alignment horizontal="center" vertical="top" wrapText="1"/>
    </xf>
    <xf numFmtId="49" fontId="8" fillId="15" borderId="15" xfId="0" applyNumberFormat="1" applyFont="1" applyFill="1" applyBorder="1" applyAlignment="1">
      <alignment horizontal="center" vertical="top" wrapText="1"/>
    </xf>
    <xf numFmtId="168" fontId="0" fillId="14" borderId="4" xfId="0" applyNumberFormat="1" applyFont="1" applyFill="1" applyBorder="1" applyAlignment="1" applyProtection="1">
      <alignment horizontal="center" vertical="top" wrapText="1"/>
      <protection locked="0"/>
    </xf>
    <xf numFmtId="49" fontId="0" fillId="14" borderId="4" xfId="0" applyNumberFormat="1" applyFont="1" applyFill="1" applyBorder="1" applyAlignment="1" applyProtection="1">
      <alignment horizontal="center" vertical="top" wrapText="1"/>
      <protection locked="0"/>
    </xf>
    <xf numFmtId="168" fontId="0" fillId="6" borderId="4" xfId="0" applyNumberFormat="1" applyFont="1" applyFill="1" applyBorder="1" applyAlignment="1" applyProtection="1">
      <alignment horizontal="center" vertical="top" wrapText="1"/>
      <protection locked="0"/>
    </xf>
    <xf numFmtId="49" fontId="0" fillId="6" borderId="4" xfId="0" applyNumberFormat="1" applyFont="1" applyFill="1" applyBorder="1" applyAlignment="1" applyProtection="1">
      <alignment horizontal="center" vertical="top" wrapText="1"/>
      <protection locked="0"/>
    </xf>
    <xf numFmtId="49" fontId="8" fillId="15" borderId="4" xfId="0" applyNumberFormat="1" applyFont="1" applyFill="1" applyBorder="1" applyAlignment="1">
      <alignment horizontal="left" vertical="top" wrapText="1"/>
    </xf>
    <xf numFmtId="0" fontId="40" fillId="0" borderId="0" xfId="0" applyNumberFormat="1" applyFont="1" applyAlignment="1">
      <alignment horizontal="center" vertical="center" wrapText="1"/>
    </xf>
    <xf numFmtId="0" fontId="0" fillId="0" borderId="4" xfId="0" applyNumberFormat="1" applyFont="1" applyBorder="1" applyAlignment="1">
      <alignment horizontal="center" vertical="center"/>
    </xf>
    <xf numFmtId="49" fontId="8" fillId="14" borderId="4" xfId="0" applyNumberFormat="1" applyFont="1" applyFill="1" applyBorder="1" applyAlignment="1" applyProtection="1">
      <alignment horizontal="left" vertical="top" wrapText="1"/>
      <protection locked="0"/>
    </xf>
    <xf numFmtId="49" fontId="8" fillId="0" borderId="5" xfId="0" applyNumberFormat="1" applyFont="1" applyBorder="1" applyAlignment="1">
      <alignment horizontal="center" vertical="center" wrapText="1"/>
    </xf>
    <xf numFmtId="0" fontId="8" fillId="6" borderId="4" xfId="0" applyNumberFormat="1" applyFont="1" applyFill="1" applyBorder="1" applyAlignment="1" applyProtection="1">
      <alignment horizontal="left" vertical="top" wrapText="1"/>
      <protection locked="0"/>
    </xf>
    <xf numFmtId="49" fontId="0" fillId="14" borderId="4" xfId="0" applyNumberFormat="1" applyFont="1" applyFill="1" applyBorder="1" applyAlignment="1" applyProtection="1">
      <alignment horizontal="left" vertical="center" wrapText="1"/>
      <protection locked="0"/>
    </xf>
    <xf numFmtId="49" fontId="8" fillId="0" borderId="9" xfId="0" applyNumberFormat="1" applyFont="1" applyBorder="1" applyAlignment="1">
      <alignment horizontal="center" vertical="center" wrapText="1"/>
    </xf>
    <xf numFmtId="49" fontId="8" fillId="0" borderId="28" xfId="0" applyNumberFormat="1" applyFont="1" applyBorder="1" applyAlignment="1">
      <alignment horizontal="center" vertical="center" wrapText="1"/>
    </xf>
    <xf numFmtId="49" fontId="8" fillId="0" borderId="15" xfId="0" applyNumberFormat="1" applyFont="1" applyBorder="1" applyAlignment="1">
      <alignment horizontal="center" vertical="center" wrapText="1"/>
    </xf>
    <xf numFmtId="0" fontId="0" fillId="0" borderId="6" xfId="0" applyNumberFormat="1" applyFont="1" applyBorder="1" applyAlignment="1">
      <alignment horizontal="right" vertical="center" wrapText="1" indent="1"/>
    </xf>
    <xf numFmtId="0" fontId="0" fillId="0" borderId="7" xfId="0" applyNumberFormat="1" applyFont="1" applyBorder="1" applyAlignment="1">
      <alignment horizontal="right" vertical="center" wrapText="1" indent="1"/>
    </xf>
    <xf numFmtId="0" fontId="0" fillId="0" borderId="5" xfId="0" applyNumberFormat="1" applyFont="1" applyBorder="1" applyAlignment="1">
      <alignment horizontal="right" vertical="center" wrapText="1" indent="1"/>
    </xf>
    <xf numFmtId="0" fontId="0" fillId="11" borderId="4" xfId="0" applyNumberFormat="1" applyFont="1" applyFill="1" applyBorder="1" applyAlignment="1">
      <alignment horizontal="left" vertical="center" wrapText="1" indent="1"/>
    </xf>
    <xf numFmtId="49" fontId="113" fillId="15" borderId="9" xfId="0" applyNumberFormat="1" applyFont="1" applyFill="1" applyBorder="1" applyAlignment="1">
      <alignment horizontal="left" vertical="center" wrapText="1" indent="1"/>
    </xf>
    <xf numFmtId="49" fontId="113" fillId="15" borderId="28" xfId="0" applyNumberFormat="1" applyFont="1" applyFill="1" applyBorder="1" applyAlignment="1">
      <alignment horizontal="left" vertical="center" wrapText="1" indent="1"/>
    </xf>
    <xf numFmtId="49" fontId="113" fillId="15" borderId="15" xfId="0" applyNumberFormat="1" applyFont="1" applyFill="1" applyBorder="1" applyAlignment="1">
      <alignment horizontal="left" vertical="center" wrapText="1" indent="1"/>
    </xf>
    <xf numFmtId="49" fontId="113" fillId="0" borderId="4" xfId="0" applyNumberFormat="1" applyFont="1" applyBorder="1" applyAlignment="1">
      <alignment horizontal="left" vertical="center" wrapText="1"/>
    </xf>
    <xf numFmtId="49" fontId="96" fillId="0" borderId="4" xfId="0" applyNumberFormat="1" applyFont="1" applyBorder="1" applyAlignment="1">
      <alignment horizontal="center" vertical="center" wrapText="1"/>
    </xf>
    <xf numFmtId="0" fontId="38" fillId="0" borderId="4" xfId="0" applyNumberFormat="1" applyFont="1" applyBorder="1" applyAlignment="1">
      <alignment horizontal="center" vertical="center"/>
    </xf>
    <xf numFmtId="0" fontId="0" fillId="14" borderId="4" xfId="0" applyNumberFormat="1" applyFont="1" applyFill="1" applyBorder="1" applyAlignment="1" applyProtection="1">
      <alignment horizontal="left" vertical="center" wrapText="1"/>
      <protection locked="0"/>
    </xf>
    <xf numFmtId="49" fontId="0" fillId="14" borderId="6" xfId="0" applyNumberFormat="1" applyFont="1" applyFill="1" applyBorder="1" applyAlignment="1" applyProtection="1">
      <alignment horizontal="left" vertical="center" wrapText="1"/>
      <protection locked="0"/>
    </xf>
    <xf numFmtId="0" fontId="39" fillId="0" borderId="0" xfId="0" applyNumberFormat="1" applyFont="1" applyAlignment="1">
      <alignment horizontal="center" vertical="top"/>
    </xf>
    <xf numFmtId="49" fontId="30" fillId="0" borderId="9" xfId="0" applyNumberFormat="1" applyFont="1" applyBorder="1" applyAlignment="1">
      <alignment horizontal="center" vertical="top" wrapText="1"/>
    </xf>
    <xf numFmtId="49" fontId="8" fillId="0" borderId="28" xfId="0" applyNumberFormat="1" applyFont="1" applyBorder="1" applyAlignment="1">
      <alignment horizontal="center" vertical="top" wrapText="1"/>
    </xf>
    <xf numFmtId="49" fontId="8" fillId="0" borderId="15" xfId="0" applyNumberFormat="1" applyFont="1" applyBorder="1" applyAlignment="1">
      <alignment horizontal="center" vertical="top" wrapText="1"/>
    </xf>
    <xf numFmtId="49" fontId="8" fillId="14" borderId="6" xfId="0" applyNumberFormat="1" applyFont="1" applyFill="1" applyBorder="1" applyAlignment="1" applyProtection="1">
      <alignment horizontal="left" vertical="center" wrapText="1" indent="1"/>
      <protection locked="0"/>
    </xf>
    <xf numFmtId="49" fontId="8" fillId="14" borderId="4" xfId="0" applyNumberFormat="1" applyFont="1" applyFill="1" applyBorder="1" applyAlignment="1" applyProtection="1">
      <alignment horizontal="left" vertical="center" wrapText="1" indent="1"/>
      <protection locked="0"/>
    </xf>
    <xf numFmtId="0" fontId="8" fillId="0" borderId="15" xfId="0" applyNumberFormat="1" applyFont="1" applyBorder="1" applyAlignment="1">
      <alignment horizontal="left" vertical="center" wrapText="1"/>
    </xf>
    <xf numFmtId="0" fontId="0" fillId="15" borderId="4" xfId="0" applyNumberFormat="1" applyFont="1" applyFill="1" applyBorder="1" applyAlignment="1" applyProtection="1">
      <alignment horizontal="left" vertical="center" wrapText="1"/>
      <protection locked="0"/>
    </xf>
    <xf numFmtId="49" fontId="0" fillId="15" borderId="4" xfId="0" applyNumberFormat="1" applyFont="1" applyFill="1" applyBorder="1" applyAlignment="1" applyProtection="1">
      <alignment horizontal="left" vertical="center" wrapText="1"/>
      <protection locked="0"/>
    </xf>
    <xf numFmtId="49" fontId="8" fillId="6" borderId="4" xfId="0" applyNumberFormat="1" applyFont="1" applyFill="1" applyBorder="1" applyAlignment="1" applyProtection="1">
      <alignment horizontal="left" vertical="center" wrapText="1"/>
      <protection locked="0"/>
    </xf>
    <xf numFmtId="49" fontId="0" fillId="6" borderId="4" xfId="0" applyNumberFormat="1" applyFont="1" applyFill="1" applyBorder="1" applyAlignment="1" applyProtection="1">
      <alignment horizontal="left" vertical="top"/>
      <protection locked="0"/>
    </xf>
    <xf numFmtId="0" fontId="8" fillId="15" borderId="4" xfId="0" applyNumberFormat="1" applyFont="1" applyFill="1" applyBorder="1" applyAlignment="1">
      <alignment horizontal="center" vertical="center" wrapText="1"/>
    </xf>
    <xf numFmtId="14" fontId="71" fillId="0" borderId="9" xfId="0" applyNumberFormat="1" applyFont="1" applyBorder="1" applyAlignment="1">
      <alignment horizontal="center" vertical="center" wrapText="1"/>
    </xf>
    <xf numFmtId="14" fontId="71" fillId="0" borderId="28" xfId="0" applyNumberFormat="1" applyFont="1" applyBorder="1" applyAlignment="1">
      <alignment horizontal="center" vertical="center" wrapText="1"/>
    </xf>
    <xf numFmtId="0" fontId="65" fillId="0" borderId="4" xfId="0" applyNumberFormat="1" applyFont="1" applyBorder="1" applyAlignment="1">
      <alignment horizontal="left" vertical="center" wrapText="1" indent="1"/>
    </xf>
    <xf numFmtId="0" fontId="65" fillId="0" borderId="4" xfId="0" applyNumberFormat="1" applyFont="1" applyBorder="1" applyAlignment="1">
      <alignment horizontal="left" vertical="top" indent="1"/>
    </xf>
    <xf numFmtId="0" fontId="29" fillId="0" borderId="4" xfId="0" applyNumberFormat="1" applyFont="1" applyBorder="1" applyAlignment="1">
      <alignment horizontal="center" vertical="center" wrapText="1"/>
    </xf>
    <xf numFmtId="0" fontId="8" fillId="15" borderId="4" xfId="0" applyNumberFormat="1" applyFont="1" applyFill="1" applyBorder="1" applyAlignment="1">
      <alignment horizontal="left" vertical="center" wrapText="1" indent="1"/>
    </xf>
    <xf numFmtId="49" fontId="8" fillId="15" borderId="4" xfId="0" applyNumberFormat="1" applyFont="1" applyFill="1" applyBorder="1" applyAlignment="1">
      <alignment horizontal="center" vertical="top" wrapText="1"/>
    </xf>
    <xf numFmtId="49" fontId="8" fillId="15" borderId="6" xfId="0" applyNumberFormat="1" applyFont="1" applyFill="1" applyBorder="1" applyAlignment="1">
      <alignment horizontal="center" vertical="top" wrapText="1"/>
    </xf>
    <xf numFmtId="49" fontId="0" fillId="11" borderId="4" xfId="0" applyNumberFormat="1" applyFont="1" applyFill="1" applyBorder="1" applyAlignment="1">
      <alignment horizontal="center" vertical="top" wrapText="1"/>
    </xf>
    <xf numFmtId="0" fontId="8" fillId="11" borderId="4" xfId="0" applyNumberFormat="1" applyFont="1" applyFill="1" applyBorder="1" applyAlignment="1">
      <alignment horizontal="center" vertical="top" wrapText="1"/>
    </xf>
    <xf numFmtId="49" fontId="8" fillId="15" borderId="6" xfId="0" applyNumberFormat="1" applyFont="1" applyFill="1" applyBorder="1" applyAlignment="1">
      <alignment horizontal="center" vertical="center" wrapText="1"/>
    </xf>
    <xf numFmtId="49" fontId="33" fillId="13" borderId="43" xfId="0" applyNumberFormat="1" applyFont="1" applyFill="1" applyBorder="1" applyAlignment="1">
      <alignment horizontal="left" vertical="center" indent="1"/>
    </xf>
    <xf numFmtId="49" fontId="8" fillId="11" borderId="4" xfId="0" applyNumberFormat="1" applyFont="1" applyFill="1" applyBorder="1" applyAlignment="1">
      <alignment horizontal="center" vertical="center" wrapText="1"/>
    </xf>
    <xf numFmtId="49" fontId="8" fillId="11" borderId="50" xfId="0" applyNumberFormat="1" applyFont="1" applyFill="1" applyBorder="1" applyAlignment="1">
      <alignment horizontal="center" vertical="center" wrapText="1"/>
    </xf>
    <xf numFmtId="3" fontId="8" fillId="14" borderId="4" xfId="0" applyNumberFormat="1" applyFont="1" applyFill="1" applyBorder="1" applyAlignment="1" applyProtection="1">
      <alignment horizontal="center" vertical="center" wrapText="1"/>
      <protection locked="0"/>
    </xf>
    <xf numFmtId="49" fontId="113" fillId="11" borderId="4" xfId="0" applyNumberFormat="1" applyFont="1" applyFill="1" applyBorder="1" applyAlignment="1">
      <alignment horizontal="left" vertical="center" wrapText="1"/>
    </xf>
    <xf numFmtId="49" fontId="8" fillId="15" borderId="5" xfId="0" applyNumberFormat="1" applyFont="1" applyFill="1" applyBorder="1" applyAlignment="1">
      <alignment horizontal="left" vertical="center" wrapText="1"/>
    </xf>
    <xf numFmtId="49" fontId="8" fillId="15" borderId="4" xfId="0" applyNumberFormat="1" applyFont="1" applyFill="1" applyBorder="1" applyAlignment="1">
      <alignment horizontal="left" vertical="center" wrapText="1"/>
    </xf>
    <xf numFmtId="49" fontId="8" fillId="14" borderId="4" xfId="0" applyNumberFormat="1" applyFont="1" applyFill="1" applyBorder="1" applyAlignment="1" applyProtection="1">
      <alignment horizontal="left" vertical="center" wrapText="1"/>
      <protection locked="0"/>
    </xf>
    <xf numFmtId="49" fontId="96" fillId="0" borderId="5" xfId="0" applyNumberFormat="1" applyFont="1" applyBorder="1" applyAlignment="1">
      <alignment horizontal="center" vertical="center" wrapText="1"/>
    </xf>
    <xf numFmtId="0" fontId="8" fillId="15" borderId="9" xfId="0" applyNumberFormat="1" applyFont="1" applyFill="1" applyBorder="1" applyAlignment="1">
      <alignment horizontal="left" vertical="center" wrapText="1"/>
    </xf>
    <xf numFmtId="0" fontId="8" fillId="15" borderId="28" xfId="0" applyNumberFormat="1" applyFont="1" applyFill="1" applyBorder="1" applyAlignment="1">
      <alignment horizontal="left" vertical="center" wrapText="1"/>
    </xf>
    <xf numFmtId="49" fontId="8" fillId="15" borderId="9" xfId="0" applyNumberFormat="1" applyFont="1" applyFill="1" applyBorder="1" applyAlignment="1">
      <alignment horizontal="left" vertical="center" wrapText="1"/>
    </xf>
    <xf numFmtId="49" fontId="8" fillId="15" borderId="15" xfId="0" applyNumberFormat="1" applyFont="1" applyFill="1" applyBorder="1" applyAlignment="1">
      <alignment horizontal="left" vertical="center" wrapText="1"/>
    </xf>
    <xf numFmtId="49" fontId="8" fillId="0" borderId="28" xfId="0" applyNumberFormat="1" applyFont="1" applyBorder="1" applyAlignment="1">
      <alignment horizontal="center" vertical="center"/>
    </xf>
    <xf numFmtId="0" fontId="8" fillId="0" borderId="16" xfId="0" applyNumberFormat="1" applyFont="1" applyBorder="1" applyAlignment="1">
      <alignment horizontal="center" vertical="center"/>
    </xf>
    <xf numFmtId="49" fontId="8" fillId="6" borderId="9" xfId="0" applyNumberFormat="1" applyFont="1" applyFill="1" applyBorder="1" applyAlignment="1" applyProtection="1">
      <alignment horizontal="left" vertical="center" wrapText="1"/>
      <protection locked="0"/>
    </xf>
    <xf numFmtId="0" fontId="33" fillId="13" borderId="7" xfId="0" applyNumberFormat="1" applyFont="1" applyFill="1" applyBorder="1" applyAlignment="1">
      <alignment horizontal="left" vertical="center"/>
    </xf>
    <xf numFmtId="0" fontId="33" fillId="13" borderId="5" xfId="0" applyNumberFormat="1" applyFont="1" applyFill="1" applyBorder="1" applyAlignment="1">
      <alignment horizontal="left" vertical="center"/>
    </xf>
    <xf numFmtId="0" fontId="33" fillId="13" borderId="11" xfId="0" applyNumberFormat="1" applyFont="1" applyFill="1" applyBorder="1" applyAlignment="1">
      <alignment horizontal="left" vertical="center"/>
    </xf>
    <xf numFmtId="0" fontId="33" fillId="13" borderId="12" xfId="0" applyNumberFormat="1" applyFont="1" applyFill="1" applyBorder="1" applyAlignment="1">
      <alignment horizontal="left" vertical="center"/>
    </xf>
    <xf numFmtId="49" fontId="8" fillId="14" borderId="9" xfId="0" applyNumberFormat="1" applyFont="1" applyFill="1" applyBorder="1" applyAlignment="1" applyProtection="1">
      <alignment horizontal="left" vertical="center" wrapText="1"/>
      <protection locked="0"/>
    </xf>
    <xf numFmtId="49" fontId="40" fillId="0" borderId="4" xfId="0" applyNumberFormat="1" applyFont="1" applyBorder="1" applyAlignment="1">
      <alignment horizontal="center" vertical="center" wrapText="1"/>
    </xf>
    <xf numFmtId="0" fontId="8" fillId="9" borderId="4" xfId="0" applyNumberFormat="1" applyFont="1" applyFill="1" applyBorder="1" applyAlignment="1">
      <alignment horizontal="center" vertical="center"/>
    </xf>
    <xf numFmtId="0" fontId="8" fillId="15" borderId="6" xfId="0" applyNumberFormat="1" applyFont="1" applyFill="1" applyBorder="1" applyAlignment="1">
      <alignment horizontal="left" vertical="center" wrapText="1"/>
    </xf>
    <xf numFmtId="0" fontId="8" fillId="15" borderId="7" xfId="0" applyNumberFormat="1" applyFont="1" applyFill="1" applyBorder="1" applyAlignment="1">
      <alignment horizontal="left" vertical="center" wrapText="1"/>
    </xf>
    <xf numFmtId="0" fontId="8" fillId="15" borderId="5" xfId="0" applyNumberFormat="1" applyFont="1" applyFill="1" applyBorder="1" applyAlignment="1">
      <alignment horizontal="left" vertical="center" wrapText="1"/>
    </xf>
    <xf numFmtId="0" fontId="0" fillId="9" borderId="4" xfId="33" applyFont="1" applyFill="1" applyBorder="1" applyAlignment="1">
      <alignment horizontal="right" vertical="center" wrapText="1" indent="1"/>
    </xf>
    <xf numFmtId="0" fontId="8" fillId="11" borderId="4" xfId="0" applyNumberFormat="1" applyFont="1" applyFill="1" applyBorder="1" applyAlignment="1">
      <alignment horizontal="left" vertical="center" wrapText="1" indent="1"/>
    </xf>
    <xf numFmtId="4" fontId="113" fillId="11" borderId="6" xfId="0" applyNumberFormat="1" applyFont="1" applyFill="1" applyBorder="1" applyAlignment="1">
      <alignment horizontal="left" vertical="center" wrapText="1"/>
    </xf>
    <xf numFmtId="4" fontId="113" fillId="11" borderId="7" xfId="0" applyNumberFormat="1" applyFont="1" applyFill="1" applyBorder="1" applyAlignment="1">
      <alignment horizontal="left" vertical="center" wrapText="1"/>
    </xf>
    <xf numFmtId="4" fontId="113" fillId="11" borderId="5" xfId="0" applyNumberFormat="1" applyFont="1" applyFill="1" applyBorder="1" applyAlignment="1">
      <alignment horizontal="left" vertical="center" wrapText="1"/>
    </xf>
    <xf numFmtId="49" fontId="39" fillId="0" borderId="4" xfId="0" applyNumberFormat="1" applyFont="1" applyBorder="1" applyAlignment="1">
      <alignment horizontal="center" vertical="center" wrapText="1"/>
    </xf>
    <xf numFmtId="168" fontId="39" fillId="0" borderId="4" xfId="0" applyNumberFormat="1" applyFont="1" applyBorder="1" applyAlignment="1">
      <alignment horizontal="center" vertical="center" wrapText="1"/>
    </xf>
    <xf numFmtId="0" fontId="8" fillId="0" borderId="0" xfId="0" applyNumberFormat="1" applyFont="1" applyAlignment="1">
      <alignment horizontal="left" vertical="top" wrapText="1"/>
    </xf>
    <xf numFmtId="0" fontId="39" fillId="0" borderId="4" xfId="0" applyNumberFormat="1" applyFont="1" applyBorder="1" applyAlignment="1">
      <alignment horizontal="center" vertical="center"/>
    </xf>
    <xf numFmtId="0" fontId="39" fillId="0" borderId="6" xfId="0" applyNumberFormat="1" applyFont="1" applyBorder="1" applyAlignment="1">
      <alignment horizontal="center" vertical="center"/>
    </xf>
    <xf numFmtId="0" fontId="39" fillId="0" borderId="4" xfId="0" applyNumberFormat="1" applyFont="1" applyBorder="1" applyAlignment="1">
      <alignment horizontal="center" vertical="center" wrapText="1"/>
    </xf>
    <xf numFmtId="0" fontId="39" fillId="0" borderId="6" xfId="0" applyNumberFormat="1" applyFont="1" applyBorder="1" applyAlignment="1">
      <alignment horizontal="center" vertical="center" wrapText="1"/>
    </xf>
    <xf numFmtId="168" fontId="0" fillId="14" borderId="4" xfId="0" applyNumberFormat="1" applyFont="1" applyFill="1" applyBorder="1" applyAlignment="1" applyProtection="1">
      <alignment horizontal="center" vertical="center" wrapText="1"/>
      <protection locked="0"/>
    </xf>
    <xf numFmtId="49" fontId="0" fillId="14" borderId="4" xfId="0" applyNumberFormat="1" applyFont="1" applyFill="1" applyBorder="1" applyAlignment="1" applyProtection="1">
      <alignment horizontal="center" vertical="center" wrapText="1"/>
      <protection locked="0"/>
    </xf>
    <xf numFmtId="168" fontId="0" fillId="14" borderId="9" xfId="0" applyNumberFormat="1" applyFont="1" applyFill="1" applyBorder="1" applyAlignment="1" applyProtection="1">
      <alignment horizontal="center" vertical="center" wrapText="1"/>
      <protection locked="0"/>
    </xf>
    <xf numFmtId="49" fontId="0" fillId="14" borderId="15" xfId="0" applyNumberFormat="1" applyFont="1" applyFill="1" applyBorder="1" applyAlignment="1" applyProtection="1">
      <alignment horizontal="center" vertical="center" wrapText="1"/>
      <protection locked="0"/>
    </xf>
    <xf numFmtId="0" fontId="39" fillId="0" borderId="9" xfId="0" applyNumberFormat="1" applyFont="1" applyBorder="1" applyAlignment="1">
      <alignment horizontal="center" vertical="center" wrapText="1"/>
    </xf>
    <xf numFmtId="0" fontId="39" fillId="0" borderId="15" xfId="0" applyNumberFormat="1" applyFont="1" applyBorder="1" applyAlignment="1">
      <alignment horizontal="center" vertical="center" wrapText="1"/>
    </xf>
    <xf numFmtId="0" fontId="70" fillId="9" borderId="11" xfId="0" applyNumberFormat="1" applyFont="1" applyFill="1" applyBorder="1" applyAlignment="1">
      <alignment horizontal="center" vertical="center" wrapText="1"/>
    </xf>
    <xf numFmtId="0" fontId="30" fillId="0" borderId="20" xfId="0" applyNumberFormat="1" applyFont="1" applyBorder="1" applyAlignment="1">
      <alignment horizontal="center" vertical="center" wrapText="1"/>
    </xf>
    <xf numFmtId="0" fontId="8" fillId="9" borderId="4" xfId="0" applyNumberFormat="1" applyFont="1" applyFill="1" applyBorder="1" applyAlignment="1">
      <alignment horizontal="left" vertical="center" wrapText="1"/>
    </xf>
    <xf numFmtId="0" fontId="0" fillId="9" borderId="6" xfId="0" applyNumberFormat="1" applyFont="1" applyFill="1" applyBorder="1" applyAlignment="1">
      <alignment horizontal="center" vertical="center" wrapText="1"/>
    </xf>
    <xf numFmtId="0" fontId="0" fillId="9" borderId="7" xfId="0" applyNumberFormat="1" applyFont="1" applyFill="1" applyBorder="1" applyAlignment="1">
      <alignment horizontal="center" vertical="center" wrapText="1"/>
    </xf>
    <xf numFmtId="0" fontId="0" fillId="9" borderId="5" xfId="0" applyNumberFormat="1" applyFont="1" applyFill="1" applyBorder="1" applyAlignment="1">
      <alignment horizontal="center" vertical="center" wrapText="1"/>
    </xf>
    <xf numFmtId="0" fontId="8" fillId="9" borderId="9" xfId="0" applyNumberFormat="1" applyFont="1" applyFill="1" applyBorder="1" applyAlignment="1">
      <alignment horizontal="center" vertical="center" wrapText="1"/>
    </xf>
    <xf numFmtId="0" fontId="8" fillId="9" borderId="28" xfId="0" applyNumberFormat="1" applyFont="1" applyFill="1" applyBorder="1" applyAlignment="1">
      <alignment horizontal="center" vertical="center" wrapText="1"/>
    </xf>
    <xf numFmtId="0" fontId="8" fillId="9" borderId="15" xfId="0" applyNumberFormat="1" applyFont="1" applyFill="1" applyBorder="1" applyAlignment="1">
      <alignment horizontal="center" vertical="center" wrapText="1"/>
    </xf>
    <xf numFmtId="49" fontId="33" fillId="13" borderId="9" xfId="0" applyNumberFormat="1" applyFont="1" applyFill="1" applyBorder="1" applyAlignment="1">
      <alignment horizontal="center" vertical="center" textRotation="90" wrapText="1"/>
    </xf>
    <xf numFmtId="49" fontId="33" fillId="13" borderId="28" xfId="0" applyNumberFormat="1" applyFont="1" applyFill="1" applyBorder="1" applyAlignment="1">
      <alignment horizontal="center" vertical="center" textRotation="90" wrapText="1"/>
    </xf>
    <xf numFmtId="49" fontId="33" fillId="13" borderId="15" xfId="0" applyNumberFormat="1" applyFont="1" applyFill="1" applyBorder="1" applyAlignment="1">
      <alignment horizontal="center" vertical="center" textRotation="90" wrapText="1"/>
    </xf>
    <xf numFmtId="0" fontId="38" fillId="0" borderId="9" xfId="0" applyNumberFormat="1" applyFont="1" applyBorder="1" applyAlignment="1">
      <alignment horizontal="left" vertical="top" wrapText="1"/>
    </xf>
    <xf numFmtId="0" fontId="38" fillId="0" borderId="28" xfId="0" applyNumberFormat="1" applyFont="1" applyBorder="1" applyAlignment="1">
      <alignment horizontal="left" vertical="top" wrapText="1"/>
    </xf>
    <xf numFmtId="0" fontId="38" fillId="0" borderId="15" xfId="0" applyNumberFormat="1" applyFont="1" applyBorder="1" applyAlignment="1">
      <alignment horizontal="left" vertical="top" wrapText="1"/>
    </xf>
    <xf numFmtId="0" fontId="40" fillId="0" borderId="9" xfId="0" applyNumberFormat="1" applyFont="1" applyBorder="1" applyAlignment="1">
      <alignment horizontal="center" vertical="center" wrapText="1"/>
    </xf>
    <xf numFmtId="0" fontId="40" fillId="0" borderId="15" xfId="0" applyNumberFormat="1" applyFont="1" applyBorder="1" applyAlignment="1">
      <alignment horizontal="center" vertical="center" wrapText="1"/>
    </xf>
    <xf numFmtId="0" fontId="0" fillId="9" borderId="11" xfId="0" applyNumberFormat="1" applyFont="1" applyFill="1" applyBorder="1" applyAlignment="1">
      <alignment horizontal="center" vertical="center" wrapText="1"/>
    </xf>
    <xf numFmtId="0" fontId="40" fillId="0" borderId="6" xfId="0" applyNumberFormat="1" applyFont="1" applyBorder="1" applyAlignment="1">
      <alignment horizontal="left" vertical="center" wrapText="1"/>
    </xf>
    <xf numFmtId="0" fontId="40" fillId="0" borderId="7" xfId="0" applyNumberFormat="1" applyFont="1" applyBorder="1" applyAlignment="1">
      <alignment horizontal="left" vertical="center" wrapText="1"/>
    </xf>
    <xf numFmtId="0" fontId="40" fillId="0" borderId="5" xfId="0" applyNumberFormat="1" applyFont="1" applyBorder="1" applyAlignment="1">
      <alignment horizontal="left" vertical="center" wrapText="1"/>
    </xf>
    <xf numFmtId="0" fontId="0" fillId="0" borderId="28" xfId="0" applyNumberFormat="1" applyFont="1" applyBorder="1" applyAlignment="1">
      <alignment horizontal="center" vertical="center" wrapText="1"/>
    </xf>
    <xf numFmtId="0" fontId="8" fillId="0" borderId="11" xfId="0" applyNumberFormat="1" applyFont="1" applyBorder="1" applyAlignment="1">
      <alignment horizontal="center" vertical="center" wrapText="1"/>
    </xf>
    <xf numFmtId="0" fontId="8" fillId="0" borderId="20" xfId="0" applyNumberFormat="1" applyFont="1" applyBorder="1" applyAlignment="1">
      <alignment horizontal="center" vertical="center" wrapText="1"/>
    </xf>
    <xf numFmtId="0" fontId="8" fillId="0" borderId="4" xfId="0" applyNumberFormat="1" applyFont="1" applyBorder="1" applyAlignment="1">
      <alignment horizontal="center" vertical="center"/>
    </xf>
    <xf numFmtId="0" fontId="8" fillId="0" borderId="6" xfId="0" applyNumberFormat="1" applyFont="1" applyBorder="1" applyAlignment="1">
      <alignment horizontal="center" vertical="center"/>
    </xf>
    <xf numFmtId="0" fontId="8" fillId="15" borderId="12" xfId="0" applyNumberFormat="1" applyFont="1" applyFill="1" applyBorder="1" applyAlignment="1">
      <alignment horizontal="left" vertical="center" wrapText="1"/>
    </xf>
    <xf numFmtId="49" fontId="8" fillId="0" borderId="4" xfId="0" applyNumberFormat="1" applyFont="1" applyBorder="1" applyAlignment="1">
      <alignment horizontal="left" vertical="center" wrapText="1" indent="1"/>
    </xf>
    <xf numFmtId="0" fontId="0" fillId="9" borderId="29" xfId="0" applyNumberFormat="1" applyFont="1" applyFill="1" applyBorder="1" applyAlignment="1">
      <alignment horizontal="center" vertical="center" wrapText="1"/>
    </xf>
    <xf numFmtId="0" fontId="0" fillId="9" borderId="12" xfId="0" applyNumberFormat="1" applyFont="1" applyFill="1" applyBorder="1" applyAlignment="1">
      <alignment horizontal="center" vertical="center" wrapText="1"/>
    </xf>
    <xf numFmtId="0" fontId="0" fillId="9" borderId="14" xfId="0" applyNumberFormat="1" applyFont="1" applyFill="1" applyBorder="1" applyAlignment="1">
      <alignment horizontal="center" vertical="center" wrapText="1"/>
    </xf>
    <xf numFmtId="0" fontId="0" fillId="9" borderId="0" xfId="0" applyNumberFormat="1" applyFont="1" applyFill="1" applyAlignment="1">
      <alignment horizontal="center" vertical="center" wrapText="1"/>
    </xf>
    <xf numFmtId="0" fontId="0" fillId="9" borderId="16" xfId="0" applyNumberFormat="1" applyFont="1" applyFill="1" applyBorder="1" applyAlignment="1">
      <alignment horizontal="center" vertical="center" wrapText="1"/>
    </xf>
    <xf numFmtId="0" fontId="0" fillId="9" borderId="19" xfId="0" applyNumberFormat="1" applyFont="1" applyFill="1" applyBorder="1" applyAlignment="1">
      <alignment horizontal="center" vertical="center" wrapText="1"/>
    </xf>
    <xf numFmtId="0" fontId="0" fillId="9" borderId="20" xfId="0" applyNumberFormat="1" applyFont="1" applyFill="1" applyBorder="1" applyAlignment="1">
      <alignment horizontal="center" vertical="center" wrapText="1"/>
    </xf>
    <xf numFmtId="0" fontId="0" fillId="9" borderId="22" xfId="0" applyNumberFormat="1" applyFont="1" applyFill="1" applyBorder="1" applyAlignment="1">
      <alignment horizontal="center" vertical="center" wrapText="1"/>
    </xf>
    <xf numFmtId="49" fontId="8" fillId="9" borderId="4" xfId="0" applyNumberFormat="1" applyFont="1" applyFill="1" applyBorder="1" applyAlignment="1">
      <alignment horizontal="center" vertical="center" wrapText="1"/>
    </xf>
    <xf numFmtId="0" fontId="30" fillId="0" borderId="4" xfId="0" applyNumberFormat="1" applyFont="1" applyBorder="1" applyAlignment="1">
      <alignment horizontal="center" vertical="center" wrapText="1"/>
    </xf>
    <xf numFmtId="49" fontId="8" fillId="14" borderId="9" xfId="0" applyNumberFormat="1" applyFont="1" applyFill="1" applyBorder="1" applyAlignment="1" applyProtection="1">
      <alignment horizontal="left" vertical="center" wrapText="1" indent="6"/>
      <protection locked="0"/>
    </xf>
    <xf numFmtId="49" fontId="8" fillId="14" borderId="28" xfId="0" applyNumberFormat="1" applyFont="1" applyFill="1" applyBorder="1" applyAlignment="1" applyProtection="1">
      <alignment horizontal="left" vertical="center" wrapText="1" indent="6"/>
      <protection locked="0"/>
    </xf>
    <xf numFmtId="49" fontId="8" fillId="14" borderId="15" xfId="0" applyNumberFormat="1" applyFont="1" applyFill="1" applyBorder="1" applyAlignment="1" applyProtection="1">
      <alignment horizontal="left" vertical="center" wrapText="1" indent="6"/>
      <protection locked="0"/>
    </xf>
    <xf numFmtId="0" fontId="8" fillId="9" borderId="9" xfId="0" applyNumberFormat="1" applyFont="1" applyFill="1" applyBorder="1" applyAlignment="1">
      <alignment horizontal="left" vertical="center" wrapText="1"/>
    </xf>
    <xf numFmtId="0" fontId="8" fillId="9" borderId="28" xfId="0" applyNumberFormat="1" applyFont="1" applyFill="1" applyBorder="1" applyAlignment="1">
      <alignment horizontal="left" vertical="center" wrapText="1"/>
    </xf>
    <xf numFmtId="0" fontId="8" fillId="9" borderId="15" xfId="0" applyNumberFormat="1" applyFont="1" applyFill="1" applyBorder="1" applyAlignment="1">
      <alignment horizontal="left" vertical="center" wrapText="1"/>
    </xf>
    <xf numFmtId="0" fontId="40" fillId="0" borderId="16" xfId="0" applyNumberFormat="1" applyFont="1" applyBorder="1" applyAlignment="1">
      <alignment horizontal="center" vertical="top" wrapText="1"/>
    </xf>
    <xf numFmtId="49" fontId="8" fillId="15" borderId="4" xfId="0" applyNumberFormat="1" applyFont="1" applyFill="1" applyBorder="1" applyAlignment="1">
      <alignment horizontal="left" vertical="center" wrapText="1" indent="1"/>
    </xf>
    <xf numFmtId="4" fontId="113" fillId="11" borderId="4" xfId="0" applyNumberFormat="1" applyFont="1" applyFill="1" applyBorder="1" applyAlignment="1">
      <alignment horizontal="left" vertical="center" wrapText="1"/>
    </xf>
    <xf numFmtId="0" fontId="8" fillId="15" borderId="4" xfId="0" applyNumberFormat="1" applyFont="1" applyFill="1" applyBorder="1" applyAlignment="1" applyProtection="1">
      <alignment horizontal="left" vertical="center" wrapText="1"/>
      <protection locked="0"/>
    </xf>
    <xf numFmtId="0" fontId="8" fillId="15" borderId="6" xfId="0" applyNumberFormat="1" applyFont="1" applyFill="1" applyBorder="1" applyAlignment="1" applyProtection="1">
      <alignment horizontal="left" vertical="center" wrapText="1"/>
      <protection locked="0"/>
    </xf>
    <xf numFmtId="0" fontId="8" fillId="15" borderId="7" xfId="0" applyNumberFormat="1" applyFont="1" applyFill="1" applyBorder="1" applyAlignment="1" applyProtection="1">
      <alignment horizontal="left" vertical="center" wrapText="1"/>
      <protection locked="0"/>
    </xf>
    <xf numFmtId="0" fontId="8" fillId="15" borderId="5" xfId="0" applyNumberFormat="1" applyFont="1" applyFill="1" applyBorder="1" applyAlignment="1" applyProtection="1">
      <alignment horizontal="left" vertical="center" wrapText="1"/>
      <protection locked="0"/>
    </xf>
    <xf numFmtId="0" fontId="8" fillId="0" borderId="0" xfId="0" applyNumberFormat="1" applyFont="1" applyAlignment="1">
      <alignment horizontal="right" vertical="center" wrapText="1"/>
    </xf>
    <xf numFmtId="0" fontId="29" fillId="9" borderId="0" xfId="0" applyNumberFormat="1" applyFont="1" applyFill="1" applyAlignment="1">
      <alignment horizontal="center" vertical="center" wrapText="1"/>
    </xf>
    <xf numFmtId="0" fontId="8" fillId="11" borderId="4" xfId="0" applyNumberFormat="1" applyFont="1" applyFill="1" applyBorder="1" applyAlignment="1">
      <alignment horizontal="left" vertical="center" wrapText="1"/>
    </xf>
    <xf numFmtId="0" fontId="72" fillId="0" borderId="0" xfId="0" applyNumberFormat="1" applyFont="1" applyAlignment="1">
      <alignment horizontal="center" vertical="center" wrapText="1"/>
    </xf>
    <xf numFmtId="49" fontId="33" fillId="13" borderId="4" xfId="0" applyNumberFormat="1" applyFont="1" applyFill="1" applyBorder="1" applyAlignment="1">
      <alignment horizontal="center" vertical="center" textRotation="90" wrapText="1"/>
    </xf>
    <xf numFmtId="0" fontId="7" fillId="0" borderId="7" xfId="0" applyNumberFormat="1" applyFont="1" applyBorder="1" applyAlignment="1">
      <alignment horizontal="left" vertical="center" wrapText="1" indent="1"/>
    </xf>
    <xf numFmtId="0" fontId="8" fillId="11" borderId="6" xfId="0" applyNumberFormat="1" applyFont="1" applyFill="1" applyBorder="1" applyAlignment="1">
      <alignment horizontal="left" vertical="center" wrapText="1" indent="1"/>
    </xf>
    <xf numFmtId="0" fontId="8" fillId="11" borderId="7" xfId="0" applyNumberFormat="1" applyFont="1" applyFill="1" applyBorder="1" applyAlignment="1">
      <alignment horizontal="left" vertical="center" wrapText="1" indent="1"/>
    </xf>
    <xf numFmtId="0" fontId="8" fillId="11" borderId="5" xfId="0" applyNumberFormat="1" applyFont="1" applyFill="1" applyBorder="1" applyAlignment="1">
      <alignment horizontal="left" vertical="center" wrapText="1" indent="1"/>
    </xf>
    <xf numFmtId="0" fontId="0" fillId="0" borderId="4" xfId="0" applyNumberFormat="1" applyFont="1" applyBorder="1" applyAlignment="1">
      <alignment horizontal="left" vertical="center" wrapText="1"/>
    </xf>
    <xf numFmtId="0" fontId="0" fillId="0" borderId="4" xfId="0" applyNumberFormat="1" applyFont="1" applyBorder="1" applyAlignment="1">
      <alignment horizontal="left" vertical="center" wrapText="1" indent="1"/>
    </xf>
    <xf numFmtId="0" fontId="8" fillId="11" borderId="6" xfId="0" applyNumberFormat="1" applyFont="1" applyFill="1" applyBorder="1" applyAlignment="1">
      <alignment horizontal="left" vertical="top" wrapText="1" indent="1"/>
    </xf>
    <xf numFmtId="0" fontId="8" fillId="11" borderId="5" xfId="0" applyNumberFormat="1" applyFont="1" applyFill="1" applyBorder="1" applyAlignment="1">
      <alignment horizontal="left" vertical="top" wrapText="1" indent="1"/>
    </xf>
    <xf numFmtId="0" fontId="8" fillId="0" borderId="7" xfId="0" applyNumberFormat="1" applyFont="1" applyBorder="1" applyAlignment="1">
      <alignment horizontal="right" vertical="center" wrapText="1" indent="1"/>
    </xf>
    <xf numFmtId="0" fontId="8" fillId="0" borderId="5" xfId="0" applyNumberFormat="1" applyFont="1" applyBorder="1" applyAlignment="1">
      <alignment horizontal="right" vertical="center" wrapText="1" indent="1"/>
    </xf>
    <xf numFmtId="0" fontId="8" fillId="0" borderId="6" xfId="0" applyNumberFormat="1" applyFont="1" applyBorder="1" applyAlignment="1">
      <alignment horizontal="right" vertical="center" wrapText="1"/>
    </xf>
    <xf numFmtId="0" fontId="8" fillId="0" borderId="7" xfId="0" applyNumberFormat="1" applyFont="1" applyBorder="1" applyAlignment="1">
      <alignment horizontal="right" vertical="center" wrapText="1"/>
    </xf>
    <xf numFmtId="0" fontId="8" fillId="0" borderId="11" xfId="0" applyNumberFormat="1" applyFont="1" applyBorder="1" applyAlignment="1">
      <alignment horizontal="left" vertical="center" wrapText="1" indent="1"/>
    </xf>
    <xf numFmtId="49" fontId="8" fillId="0" borderId="0" xfId="0" applyNumberFormat="1" applyFont="1" applyAlignment="1">
      <alignment vertical="center" wrapText="1"/>
    </xf>
    <xf numFmtId="0" fontId="30" fillId="0" borderId="16" xfId="0" applyNumberFormat="1" applyFont="1" applyBorder="1" applyAlignment="1">
      <alignment horizontal="center" vertical="center" wrapText="1"/>
    </xf>
    <xf numFmtId="0" fontId="8" fillId="9" borderId="6" xfId="0" applyNumberFormat="1" applyFont="1" applyFill="1" applyBorder="1" applyAlignment="1">
      <alignment horizontal="center" vertical="center" wrapText="1"/>
    </xf>
    <xf numFmtId="0" fontId="8" fillId="9" borderId="7" xfId="0" applyNumberFormat="1" applyFont="1" applyFill="1" applyBorder="1" applyAlignment="1">
      <alignment horizontal="center" vertical="center" wrapText="1"/>
    </xf>
    <xf numFmtId="0" fontId="8" fillId="9" borderId="5" xfId="0" applyNumberFormat="1" applyFont="1" applyFill="1" applyBorder="1" applyAlignment="1">
      <alignment horizontal="center" vertical="center" wrapText="1"/>
    </xf>
    <xf numFmtId="49" fontId="29" fillId="9" borderId="7" xfId="0" applyNumberFormat="1" applyFont="1" applyFill="1" applyBorder="1" applyAlignment="1">
      <alignment horizontal="center" vertical="center" wrapText="1"/>
    </xf>
    <xf numFmtId="0" fontId="0" fillId="0" borderId="28" xfId="0" applyNumberFormat="1" applyFont="1" applyBorder="1" applyAlignment="1">
      <alignment horizontal="left" vertical="center" wrapText="1"/>
    </xf>
    <xf numFmtId="0" fontId="0" fillId="0" borderId="15" xfId="0" applyNumberFormat="1" applyFont="1" applyBorder="1" applyAlignment="1">
      <alignment horizontal="left" vertical="center" wrapText="1"/>
    </xf>
    <xf numFmtId="0" fontId="32" fillId="9" borderId="16" xfId="0" applyNumberFormat="1" applyFont="1" applyFill="1" applyBorder="1" applyAlignment="1">
      <alignment horizontal="center" vertical="top" wrapText="1"/>
    </xf>
    <xf numFmtId="49" fontId="0" fillId="9" borderId="4" xfId="0" applyNumberFormat="1" applyFont="1" applyFill="1" applyBorder="1" applyAlignment="1">
      <alignment horizontal="center" vertical="center" wrapText="1"/>
    </xf>
    <xf numFmtId="0" fontId="116" fillId="11" borderId="4" xfId="0" applyNumberFormat="1" applyFont="1" applyFill="1" applyBorder="1" applyAlignment="1">
      <alignment horizontal="left" vertical="center" wrapText="1" indent="1"/>
    </xf>
    <xf numFmtId="49" fontId="0" fillId="9" borderId="9" xfId="0" applyNumberFormat="1" applyFont="1" applyFill="1" applyBorder="1" applyAlignment="1">
      <alignment horizontal="center" vertical="center" wrapText="1"/>
    </xf>
    <xf numFmtId="49" fontId="0" fillId="9" borderId="15" xfId="0" applyNumberFormat="1" applyFont="1" applyFill="1" applyBorder="1" applyAlignment="1">
      <alignment horizontal="center" vertical="center" wrapText="1"/>
    </xf>
    <xf numFmtId="0" fontId="8" fillId="6" borderId="6" xfId="0" applyNumberFormat="1" applyFont="1" applyFill="1" applyBorder="1" applyAlignment="1" applyProtection="1">
      <alignment horizontal="left" vertical="center" wrapText="1"/>
      <protection locked="0"/>
    </xf>
    <xf numFmtId="0" fontId="8" fillId="6" borderId="7" xfId="0" applyNumberFormat="1" applyFont="1" applyFill="1" applyBorder="1" applyAlignment="1" applyProtection="1">
      <alignment horizontal="left" vertical="center" wrapText="1"/>
      <protection locked="0"/>
    </xf>
    <xf numFmtId="0" fontId="8" fillId="6" borderId="5" xfId="0" applyNumberFormat="1" applyFont="1" applyFill="1" applyBorder="1" applyAlignment="1" applyProtection="1">
      <alignment horizontal="left" vertical="center" wrapText="1"/>
      <protection locked="0"/>
    </xf>
    <xf numFmtId="49" fontId="8" fillId="6" borderId="6" xfId="0" applyNumberFormat="1" applyFont="1" applyFill="1" applyBorder="1" applyAlignment="1" applyProtection="1">
      <alignment horizontal="left" vertical="center" wrapText="1"/>
      <protection locked="0"/>
    </xf>
    <xf numFmtId="49" fontId="8" fillId="6" borderId="7" xfId="0" applyNumberFormat="1" applyFont="1" applyFill="1" applyBorder="1" applyAlignment="1" applyProtection="1">
      <alignment horizontal="left" vertical="center" wrapText="1"/>
      <protection locked="0"/>
    </xf>
    <xf numFmtId="49" fontId="8" fillId="6" borderId="5" xfId="0" applyNumberFormat="1" applyFont="1" applyFill="1" applyBorder="1" applyAlignment="1" applyProtection="1">
      <alignment horizontal="left" vertical="center" wrapText="1"/>
      <protection locked="0"/>
    </xf>
    <xf numFmtId="0" fontId="38" fillId="0" borderId="4" xfId="0" applyNumberFormat="1" applyFont="1" applyBorder="1" applyAlignment="1">
      <alignment horizontal="left" vertical="top" wrapText="1"/>
    </xf>
    <xf numFmtId="49" fontId="8" fillId="15" borderId="4" xfId="0" applyNumberFormat="1" applyFont="1" applyFill="1" applyBorder="1" applyAlignment="1" applyProtection="1">
      <alignment horizontal="left" vertical="center" wrapText="1" indent="1"/>
      <protection locked="0"/>
    </xf>
    <xf numFmtId="4" fontId="8" fillId="14" borderId="4" xfId="0" applyNumberFormat="1" applyFont="1" applyFill="1" applyBorder="1" applyAlignment="1" applyProtection="1">
      <alignment horizontal="left" vertical="center" wrapText="1" indent="1"/>
      <protection locked="0"/>
    </xf>
    <xf numFmtId="49" fontId="8" fillId="6" borderId="9" xfId="0" applyNumberFormat="1" applyFont="1" applyFill="1" applyBorder="1" applyAlignment="1" applyProtection="1">
      <alignment horizontal="left" vertical="center" wrapText="1" indent="6"/>
      <protection locked="0"/>
    </xf>
    <xf numFmtId="49" fontId="8" fillId="6" borderId="28" xfId="0" applyNumberFormat="1" applyFont="1" applyFill="1" applyBorder="1" applyAlignment="1" applyProtection="1">
      <alignment horizontal="left" vertical="center" wrapText="1" indent="6"/>
      <protection locked="0"/>
    </xf>
    <xf numFmtId="49" fontId="8" fillId="6" borderId="15" xfId="0" applyNumberFormat="1" applyFont="1" applyFill="1" applyBorder="1" applyAlignment="1" applyProtection="1">
      <alignment horizontal="left" vertical="center" wrapText="1" indent="6"/>
      <protection locked="0"/>
    </xf>
    <xf numFmtId="4" fontId="8" fillId="14" borderId="4" xfId="0" applyNumberFormat="1" applyFont="1" applyFill="1" applyBorder="1" applyAlignment="1" applyProtection="1">
      <alignment horizontal="center" vertical="center" wrapText="1"/>
      <protection locked="0"/>
    </xf>
    <xf numFmtId="49" fontId="8" fillId="15" borderId="12" xfId="0" applyNumberFormat="1" applyFont="1" applyFill="1" applyBorder="1" applyAlignment="1">
      <alignment horizontal="center" vertical="center" wrapText="1"/>
    </xf>
    <xf numFmtId="49" fontId="8" fillId="15" borderId="22" xfId="0" applyNumberFormat="1" applyFont="1" applyFill="1" applyBorder="1" applyAlignment="1">
      <alignment horizontal="center" vertical="center" wrapText="1"/>
    </xf>
    <xf numFmtId="0" fontId="40" fillId="0" borderId="11" xfId="0" applyNumberFormat="1" applyFont="1" applyBorder="1" applyAlignment="1">
      <alignment horizontal="left" vertical="center" wrapText="1"/>
    </xf>
    <xf numFmtId="49" fontId="81" fillId="20" borderId="0" xfId="0" applyNumberFormat="1" applyFont="1" applyFill="1" applyAlignment="1">
      <alignment horizontal="center" vertical="center" textRotation="90" wrapText="1"/>
    </xf>
    <xf numFmtId="0" fontId="63" fillId="0" borderId="0" xfId="0" applyNumberFormat="1" applyFont="1" applyAlignment="1">
      <alignment horizontal="center" vertical="center" wrapText="1"/>
    </xf>
    <xf numFmtId="49" fontId="40" fillId="0" borderId="9" xfId="0" applyNumberFormat="1" applyFont="1" applyBorder="1" applyAlignment="1">
      <alignment horizontal="center" vertical="center" wrapText="1"/>
    </xf>
    <xf numFmtId="49" fontId="40" fillId="0" borderId="28" xfId="0" applyNumberFormat="1" applyFont="1" applyBorder="1" applyAlignment="1">
      <alignment horizontal="center" vertical="center" wrapText="1"/>
    </xf>
    <xf numFmtId="49" fontId="40" fillId="0" borderId="15" xfId="0" applyNumberFormat="1" applyFont="1" applyBorder="1" applyAlignment="1">
      <alignment horizontal="center" vertical="center" wrapText="1"/>
    </xf>
    <xf numFmtId="0" fontId="38" fillId="0" borderId="0" xfId="0" applyNumberFormat="1" applyFont="1" applyAlignment="1">
      <alignment horizontal="left" vertical="top" wrapText="1"/>
    </xf>
    <xf numFmtId="0" fontId="40" fillId="0" borderId="7" xfId="0" applyNumberFormat="1" applyFont="1" applyBorder="1" applyAlignment="1">
      <alignment horizontal="right" vertical="center" wrapText="1" indent="1"/>
    </xf>
    <xf numFmtId="0" fontId="40" fillId="0" borderId="5" xfId="0" applyNumberFormat="1" applyFont="1" applyBorder="1" applyAlignment="1">
      <alignment horizontal="right" vertical="center" wrapText="1" indent="1"/>
    </xf>
    <xf numFmtId="0" fontId="8" fillId="11" borderId="6" xfId="0" applyNumberFormat="1" applyFont="1" applyFill="1" applyBorder="1" applyAlignment="1">
      <alignment horizontal="left" vertical="top" wrapText="1"/>
    </xf>
    <xf numFmtId="0" fontId="8" fillId="11" borderId="5" xfId="0" applyNumberFormat="1" applyFont="1" applyFill="1" applyBorder="1" applyAlignment="1">
      <alignment horizontal="left" vertical="top" wrapText="1"/>
    </xf>
    <xf numFmtId="49" fontId="8" fillId="28" borderId="0" xfId="0" applyNumberFormat="1" applyFont="1" applyFill="1" applyAlignment="1">
      <alignment horizontal="center" vertical="center" textRotation="90" wrapText="1"/>
    </xf>
    <xf numFmtId="49" fontId="0" fillId="0" borderId="4" xfId="0" applyNumberFormat="1" applyFont="1" applyBorder="1" applyAlignment="1">
      <alignment horizontal="center" vertical="center" wrapText="1"/>
    </xf>
    <xf numFmtId="49" fontId="8" fillId="0" borderId="6" xfId="0" applyNumberFormat="1" applyFont="1" applyBorder="1" applyAlignment="1">
      <alignment horizontal="center" vertical="center" wrapText="1"/>
    </xf>
    <xf numFmtId="0" fontId="8" fillId="9" borderId="4" xfId="33" applyFont="1" applyFill="1" applyBorder="1" applyAlignment="1">
      <alignment horizontal="center" vertical="center" wrapText="1"/>
    </xf>
    <xf numFmtId="49" fontId="8" fillId="0" borderId="4" xfId="0" applyNumberFormat="1" applyFont="1" applyBorder="1" applyAlignment="1">
      <alignment horizontal="left" vertical="center" wrapText="1"/>
    </xf>
    <xf numFmtId="0" fontId="8" fillId="0" borderId="0" xfId="0" applyNumberFormat="1" applyFont="1" applyAlignment="1">
      <alignment horizontal="left" vertical="center" wrapText="1"/>
    </xf>
    <xf numFmtId="0" fontId="8" fillId="9" borderId="29" xfId="0" applyNumberFormat="1" applyFont="1" applyFill="1" applyBorder="1" applyAlignment="1">
      <alignment horizontal="center" vertical="center" wrapText="1"/>
    </xf>
    <xf numFmtId="0" fontId="8" fillId="9" borderId="12" xfId="0" applyNumberFormat="1" applyFont="1" applyFill="1" applyBorder="1" applyAlignment="1">
      <alignment horizontal="center" vertical="center" wrapText="1"/>
    </xf>
    <xf numFmtId="0" fontId="8" fillId="9" borderId="14" xfId="0" applyNumberFormat="1" applyFont="1" applyFill="1" applyBorder="1" applyAlignment="1">
      <alignment horizontal="center" vertical="center" wrapText="1"/>
    </xf>
    <xf numFmtId="0" fontId="8" fillId="9" borderId="19" xfId="0" applyNumberFormat="1" applyFont="1" applyFill="1" applyBorder="1" applyAlignment="1">
      <alignment horizontal="center" vertical="center" wrapText="1"/>
    </xf>
    <xf numFmtId="0" fontId="8" fillId="9" borderId="22" xfId="0" applyNumberFormat="1" applyFont="1" applyFill="1" applyBorder="1" applyAlignment="1">
      <alignment horizontal="center" vertical="center" wrapText="1"/>
    </xf>
    <xf numFmtId="0" fontId="8" fillId="0" borderId="54" xfId="0" applyNumberFormat="1" applyFont="1" applyBorder="1" applyAlignment="1">
      <alignment horizontal="center" vertical="center"/>
    </xf>
    <xf numFmtId="0" fontId="8" fillId="0" borderId="55" xfId="0" applyNumberFormat="1" applyFont="1" applyBorder="1" applyAlignment="1">
      <alignment horizontal="center" vertical="center"/>
    </xf>
    <xf numFmtId="0" fontId="8" fillId="0" borderId="61" xfId="0" applyNumberFormat="1" applyFont="1" applyBorder="1" applyAlignment="1">
      <alignment horizontal="center" vertical="center"/>
    </xf>
    <xf numFmtId="0" fontId="8" fillId="0" borderId="67" xfId="0" applyNumberFormat="1" applyFont="1" applyBorder="1" applyAlignment="1">
      <alignment horizontal="center" vertical="center"/>
    </xf>
    <xf numFmtId="0" fontId="8" fillId="0" borderId="35" xfId="0" applyNumberFormat="1" applyFont="1" applyBorder="1" applyAlignment="1">
      <alignment horizontal="center" vertical="center"/>
    </xf>
    <xf numFmtId="49" fontId="0" fillId="0" borderId="4" xfId="0" applyNumberFormat="1" applyFont="1" applyBorder="1" applyAlignment="1">
      <alignment vertical="center" wrapText="1"/>
    </xf>
    <xf numFmtId="49" fontId="0" fillId="0" borderId="4" xfId="0" applyNumberFormat="1" applyFont="1" applyBorder="1" applyAlignment="1">
      <alignment horizontal="left" vertical="center" wrapText="1"/>
    </xf>
    <xf numFmtId="49" fontId="0" fillId="0" borderId="9" xfId="0" applyNumberFormat="1" applyFont="1" applyBorder="1" applyAlignment="1">
      <alignment horizontal="center" vertical="center" wrapText="1"/>
    </xf>
    <xf numFmtId="49" fontId="0" fillId="0" borderId="28" xfId="0" applyNumberFormat="1" applyFont="1" applyBorder="1" applyAlignment="1">
      <alignment horizontal="center" vertical="center" wrapText="1"/>
    </xf>
    <xf numFmtId="49" fontId="0" fillId="0" borderId="15" xfId="0" applyNumberFormat="1" applyFont="1" applyBorder="1" applyAlignment="1">
      <alignment horizontal="center" vertical="center" wrapText="1"/>
    </xf>
    <xf numFmtId="0" fontId="0" fillId="11" borderId="4" xfId="0" applyNumberFormat="1" applyFont="1" applyFill="1" applyBorder="1" applyAlignment="1">
      <alignment horizontal="center" vertical="center" wrapText="1"/>
    </xf>
    <xf numFmtId="49" fontId="0" fillId="0" borderId="4" xfId="0" applyNumberFormat="1" applyFont="1" applyBorder="1" applyAlignment="1">
      <alignment horizontal="center" vertical="center"/>
    </xf>
    <xf numFmtId="0" fontId="8" fillId="7" borderId="4" xfId="0" applyNumberFormat="1" applyFont="1" applyFill="1" applyBorder="1" applyAlignment="1">
      <alignment horizontal="center" vertical="center" wrapText="1"/>
    </xf>
    <xf numFmtId="0" fontId="8" fillId="7" borderId="6" xfId="0" applyNumberFormat="1" applyFont="1" applyFill="1" applyBorder="1" applyAlignment="1">
      <alignment horizontal="center" vertical="center" wrapText="1"/>
    </xf>
    <xf numFmtId="49" fontId="8" fillId="25" borderId="6" xfId="0" applyNumberFormat="1" applyFont="1" applyFill="1" applyBorder="1" applyAlignment="1">
      <alignment horizontal="center" vertical="center" wrapText="1"/>
    </xf>
    <xf numFmtId="49" fontId="8" fillId="25" borderId="7" xfId="0" applyNumberFormat="1" applyFont="1" applyFill="1" applyBorder="1" applyAlignment="1">
      <alignment horizontal="center" vertical="center" wrapText="1"/>
    </xf>
    <xf numFmtId="49" fontId="8" fillId="7" borderId="11" xfId="0" applyNumberFormat="1" applyFont="1" applyFill="1" applyBorder="1" applyAlignment="1">
      <alignment horizontal="center" vertical="center" wrapText="1"/>
    </xf>
    <xf numFmtId="49" fontId="8" fillId="7" borderId="0" xfId="0" applyNumberFormat="1" applyFont="1" applyFill="1" applyAlignment="1">
      <alignment horizontal="center" vertical="center" wrapText="1"/>
    </xf>
    <xf numFmtId="49" fontId="8" fillId="7" borderId="20" xfId="0" applyNumberFormat="1" applyFont="1" applyFill="1" applyBorder="1" applyAlignment="1">
      <alignment horizontal="center" vertical="center" wrapText="1"/>
    </xf>
    <xf numFmtId="0" fontId="8" fillId="7" borderId="5" xfId="0" applyNumberFormat="1" applyFont="1" applyFill="1" applyBorder="1" applyAlignment="1">
      <alignment horizontal="center" vertical="center" wrapText="1"/>
    </xf>
    <xf numFmtId="0" fontId="8" fillId="23" borderId="6" xfId="0" applyNumberFormat="1" applyFont="1" applyFill="1" applyBorder="1" applyAlignment="1">
      <alignment horizontal="center" vertical="center" wrapText="1"/>
    </xf>
    <xf numFmtId="0" fontId="8" fillId="23" borderId="7" xfId="0" applyNumberFormat="1" applyFont="1" applyFill="1" applyBorder="1" applyAlignment="1">
      <alignment horizontal="center" vertical="center" wrapText="1"/>
    </xf>
    <xf numFmtId="0" fontId="8" fillId="23" borderId="5" xfId="0" applyNumberFormat="1" applyFont="1" applyFill="1" applyBorder="1" applyAlignment="1">
      <alignment horizontal="center" vertical="center" wrapText="1"/>
    </xf>
    <xf numFmtId="49" fontId="39" fillId="21" borderId="6" xfId="0" applyNumberFormat="1" applyFont="1" applyFill="1" applyBorder="1" applyAlignment="1">
      <alignment horizontal="center" vertical="center" wrapText="1"/>
    </xf>
    <xf numFmtId="49" fontId="39" fillId="21" borderId="7" xfId="0" applyNumberFormat="1" applyFont="1" applyFill="1" applyBorder="1" applyAlignment="1">
      <alignment horizontal="center" vertical="center" wrapText="1"/>
    </xf>
    <xf numFmtId="49" fontId="39" fillId="21" borderId="5" xfId="0" applyNumberFormat="1" applyFont="1" applyFill="1" applyBorder="1" applyAlignment="1">
      <alignment horizontal="center" vertical="center" wrapText="1"/>
    </xf>
    <xf numFmtId="49" fontId="39" fillId="24" borderId="6" xfId="0" applyNumberFormat="1" applyFont="1" applyFill="1" applyBorder="1" applyAlignment="1">
      <alignment horizontal="center" vertical="center" wrapText="1"/>
    </xf>
    <xf numFmtId="49" fontId="39" fillId="24" borderId="7" xfId="0" applyNumberFormat="1" applyFont="1" applyFill="1" applyBorder="1" applyAlignment="1">
      <alignment horizontal="center" vertical="center" wrapText="1"/>
    </xf>
    <xf numFmtId="49" fontId="39" fillId="24" borderId="5" xfId="0" applyNumberFormat="1" applyFont="1" applyFill="1" applyBorder="1" applyAlignment="1">
      <alignment horizontal="center" vertical="center" wrapText="1"/>
    </xf>
    <xf numFmtId="49" fontId="8" fillId="7" borderId="4" xfId="0" applyNumberFormat="1" applyFont="1" applyFill="1" applyBorder="1" applyAlignment="1">
      <alignment horizontal="center" vertical="center" wrapText="1"/>
    </xf>
    <xf numFmtId="49" fontId="8" fillId="0" borderId="7" xfId="0" applyNumberFormat="1" applyFont="1" applyBorder="1" applyAlignment="1">
      <alignment horizontal="center" vertical="center" wrapText="1"/>
    </xf>
    <xf numFmtId="49" fontId="8" fillId="0" borderId="0" xfId="0" applyNumberFormat="1" applyFont="1" applyAlignment="1">
      <alignment horizontal="left" vertical="top" wrapText="1"/>
    </xf>
    <xf numFmtId="0" fontId="8" fillId="0" borderId="5" xfId="0" applyNumberFormat="1" applyFont="1" applyBorder="1" applyAlignment="1">
      <alignment horizontal="left" vertical="center" wrapText="1" indent="1"/>
    </xf>
    <xf numFmtId="0" fontId="8" fillId="0" borderId="6" xfId="0" applyNumberFormat="1" applyFont="1" applyBorder="1" applyAlignment="1">
      <alignment horizontal="left" vertical="center" wrapText="1" indent="1"/>
    </xf>
    <xf numFmtId="0" fontId="0" fillId="9" borderId="9" xfId="0" applyNumberFormat="1" applyFont="1" applyFill="1" applyBorder="1" applyAlignment="1">
      <alignment horizontal="left" vertical="top" wrapText="1"/>
    </xf>
    <xf numFmtId="0" fontId="0" fillId="9" borderId="28" xfId="0" applyNumberFormat="1" applyFont="1" applyFill="1" applyBorder="1" applyAlignment="1">
      <alignment horizontal="left" vertical="top" wrapText="1"/>
    </xf>
    <xf numFmtId="0" fontId="0" fillId="9" borderId="15" xfId="0" applyNumberFormat="1" applyFont="1" applyFill="1" applyBorder="1" applyAlignment="1">
      <alignment horizontal="left" vertical="top" wrapText="1"/>
    </xf>
    <xf numFmtId="4" fontId="8" fillId="0" borderId="9" xfId="0" applyNumberFormat="1" applyFont="1" applyBorder="1" applyAlignment="1">
      <alignment horizontal="center" vertical="center" wrapText="1"/>
    </xf>
    <xf numFmtId="4" fontId="8" fillId="0" borderId="15" xfId="0" applyNumberFormat="1" applyFont="1" applyBorder="1" applyAlignment="1">
      <alignment horizontal="center" vertical="center" wrapText="1"/>
    </xf>
    <xf numFmtId="49" fontId="8" fillId="0" borderId="12" xfId="0" applyNumberFormat="1" applyFont="1" applyBorder="1" applyAlignment="1">
      <alignment horizontal="left" vertical="top" wrapText="1"/>
    </xf>
    <xf numFmtId="49" fontId="8" fillId="0" borderId="22" xfId="0" applyNumberFormat="1" applyFont="1" applyBorder="1" applyAlignment="1">
      <alignment horizontal="left" vertical="top" wrapText="1"/>
    </xf>
    <xf numFmtId="4" fontId="8" fillId="0" borderId="28" xfId="0" applyNumberFormat="1" applyFont="1" applyBorder="1" applyAlignment="1">
      <alignment horizontal="center" vertical="center" wrapText="1"/>
    </xf>
    <xf numFmtId="169" fontId="8" fillId="0" borderId="9" xfId="0" applyNumberFormat="1" applyFont="1" applyBorder="1" applyAlignment="1">
      <alignment horizontal="center" vertical="center" wrapText="1"/>
    </xf>
    <xf numFmtId="169" fontId="8" fillId="0" borderId="15" xfId="0" applyNumberFormat="1" applyFont="1" applyBorder="1" applyAlignment="1">
      <alignment horizontal="center" vertical="center" wrapText="1"/>
    </xf>
    <xf numFmtId="169" fontId="8" fillId="0" borderId="6" xfId="0" applyNumberFormat="1" applyFont="1" applyBorder="1" applyAlignment="1">
      <alignment horizontal="center" vertical="center" wrapText="1"/>
    </xf>
    <xf numFmtId="169" fontId="8" fillId="0" borderId="7" xfId="0" applyNumberFormat="1" applyFont="1" applyBorder="1" applyAlignment="1">
      <alignment horizontal="center" vertical="center" wrapText="1"/>
    </xf>
    <xf numFmtId="169" fontId="8" fillId="0" borderId="5" xfId="0" applyNumberFormat="1" applyFont="1" applyBorder="1" applyAlignment="1">
      <alignment horizontal="center" vertical="center" wrapText="1"/>
    </xf>
    <xf numFmtId="14" fontId="8" fillId="15" borderId="4" xfId="0" applyNumberFormat="1" applyFont="1" applyFill="1" applyBorder="1" applyAlignment="1">
      <alignment horizontal="left" vertical="center" wrapText="1"/>
    </xf>
    <xf numFmtId="49" fontId="8" fillId="15" borderId="6" xfId="0" applyNumberFormat="1" applyFont="1" applyFill="1" applyBorder="1" applyAlignment="1">
      <alignment horizontal="left" vertical="center" wrapText="1"/>
    </xf>
    <xf numFmtId="0" fontId="8" fillId="11" borderId="15" xfId="0" applyNumberFormat="1" applyFont="1" applyFill="1" applyBorder="1" applyAlignment="1">
      <alignment horizontal="left" vertical="center" wrapText="1"/>
    </xf>
    <xf numFmtId="14" fontId="8" fillId="15" borderId="15" xfId="0" applyNumberFormat="1" applyFont="1" applyFill="1" applyBorder="1" applyAlignment="1">
      <alignment horizontal="left" vertical="center" wrapText="1"/>
    </xf>
    <xf numFmtId="169" fontId="8" fillId="0" borderId="4" xfId="0" applyNumberFormat="1" applyFont="1" applyBorder="1" applyAlignment="1">
      <alignment horizontal="center" vertical="center" wrapText="1"/>
    </xf>
    <xf numFmtId="169" fontId="38" fillId="0" borderId="49" xfId="0" applyNumberFormat="1" applyFont="1" applyBorder="1" applyAlignment="1">
      <alignment horizontal="center" vertical="center" wrapText="1"/>
    </xf>
    <xf numFmtId="169" fontId="38" fillId="0" borderId="43" xfId="0" applyNumberFormat="1" applyFont="1" applyBorder="1" applyAlignment="1">
      <alignment horizontal="center" vertical="center" wrapText="1"/>
    </xf>
    <xf numFmtId="169" fontId="38" fillId="0" borderId="68" xfId="0" applyNumberFormat="1" applyFont="1" applyBorder="1" applyAlignment="1">
      <alignment horizontal="center" vertical="center" wrapText="1"/>
    </xf>
    <xf numFmtId="49" fontId="8" fillId="15" borderId="19" xfId="0" applyNumberFormat="1" applyFont="1" applyFill="1" applyBorder="1" applyAlignment="1">
      <alignment horizontal="left" vertical="center" wrapText="1"/>
    </xf>
    <xf numFmtId="49" fontId="0" fillId="0" borderId="7" xfId="0" applyNumberFormat="1" applyFont="1" applyBorder="1" applyAlignment="1">
      <alignment horizontal="left" vertical="center" indent="1"/>
    </xf>
    <xf numFmtId="49" fontId="0" fillId="0" borderId="4" xfId="0" applyNumberFormat="1" applyFont="1" applyBorder="1" applyAlignment="1">
      <alignment horizontal="center" vertical="top"/>
    </xf>
    <xf numFmtId="49" fontId="0" fillId="0" borderId="6" xfId="0" applyNumberFormat="1" applyFont="1" applyBorder="1" applyAlignment="1">
      <alignment horizontal="center" vertical="top"/>
    </xf>
  </cellXfs>
  <cellStyles count="214">
    <cellStyle name=" 1" xfId="2"/>
    <cellStyle name=" 1 2" xfId="3"/>
    <cellStyle name=" 1 2 2" xfId="3"/>
    <cellStyle name=" 1 3" xfId="2"/>
    <cellStyle name=" 1_Stage1" xfId="2"/>
    <cellStyle name="_Model_RAB Мой_PR.PROG.WARM.NOTCOMBI.2012.2.16_v1.4(04.04.11) " xfId="4"/>
    <cellStyle name="_Model_RAB Мой_PR.PROG.WARM.NOTCOMBI.2012.2.16_v1.4(04.04.11)  2" xfId="4"/>
    <cellStyle name="_Model_RAB Мой_Книга2_PR.PROG.WARM.NOTCOMBI.2012.2.16_v1.4(04.04.11) " xfId="4"/>
    <cellStyle name="_Model_RAB Мой_Книга2_PR.PROG.WARM.NOTCOMBI.2012.2.16_v1.4(04.04.11)  2" xfId="4"/>
    <cellStyle name="_Model_RAB_MRSK_svod_PR.PROG.WARM.NOTCOMBI.2012.2.16_v1.4(04.04.11) " xfId="4"/>
    <cellStyle name="_Model_RAB_MRSK_svod_PR.PROG.WARM.NOTCOMBI.2012.2.16_v1.4(04.04.11)  2" xfId="4"/>
    <cellStyle name="_Model_RAB_MRSK_svod_Книга2_PR.PROG.WARM.NOTCOMBI.2012.2.16_v1.4(04.04.11) " xfId="4"/>
    <cellStyle name="_Model_RAB_MRSK_svod_Книга2_PR.PROG.WARM.NOTCOMBI.2012.2.16_v1.4(04.04.11)  2" xfId="4"/>
    <cellStyle name="_МОДЕЛЬ_1 (2)_PR.PROG.WARM.NOTCOMBI.2012.2.16_v1.4(04.04.11) " xfId="4"/>
    <cellStyle name="_МОДЕЛЬ_1 (2)_PR.PROG.WARM.NOTCOMBI.2012.2.16_v1.4(04.04.11)  2" xfId="4"/>
    <cellStyle name="_МОДЕЛЬ_1 (2)_Книга2_PR.PROG.WARM.NOTCOMBI.2012.2.16_v1.4(04.04.11) " xfId="4"/>
    <cellStyle name="_МОДЕЛЬ_1 (2)_Книга2_PR.PROG.WARM.NOTCOMBI.2012.2.16_v1.4(04.04.11)  2" xfId="4"/>
    <cellStyle name="_пр 5 тариф RAB_PR.PROG.WARM.NOTCOMBI.2012.2.16_v1.4(04.04.11) " xfId="4"/>
    <cellStyle name="_пр 5 тариф RAB_PR.PROG.WARM.NOTCOMBI.2012.2.16_v1.4(04.04.11)  2" xfId="4"/>
    <cellStyle name="_пр 5 тариф RAB_Книга2_PR.PROG.WARM.NOTCOMBI.2012.2.16_v1.4(04.04.11) " xfId="4"/>
    <cellStyle name="_пр 5 тариф RAB_Книга2_PR.PROG.WARM.NOTCOMBI.2012.2.16_v1.4(04.04.11)  2" xfId="4"/>
    <cellStyle name="_Расчет RAB_22072008_PR.PROG.WARM.NOTCOMBI.2012.2.16_v1.4(04.04.11) " xfId="4"/>
    <cellStyle name="_Расчет RAB_22072008_PR.PROG.WARM.NOTCOMBI.2012.2.16_v1.4(04.04.11)  2" xfId="4"/>
    <cellStyle name="_Расчет RAB_22072008_Книга2_PR.PROG.WARM.NOTCOMBI.2012.2.16_v1.4(04.04.11) " xfId="4"/>
    <cellStyle name="_Расчет RAB_22072008_Книга2_PR.PROG.WARM.NOTCOMBI.2012.2.16_v1.4(04.04.11)  2" xfId="4"/>
    <cellStyle name="_Расчет RAB_Лен и МОЭСК_с 2010 года_14.04.2009_со сглаж_version 3.0_без ФСК_PR.PROG.WARM.NOTCOMBI.2012.2.16_v1.4(04.04.11) " xfId="4"/>
    <cellStyle name="_Расчет RAB_Лен и МОЭСК_с 2010 года_14.04.2009_со сглаж_version 3.0_без ФСК_PR.PROG.WARM.NOTCOMBI.2012.2.16_v1.4(04.04.11)  2" xfId="4"/>
    <cellStyle name="_Расчет RAB_Лен и МОЭСК_с 2010 года_14.04.2009_со сглаж_version 3.0_без ФСК_Книга2_PR.PROG.WARM.NOTCOMBI.2012.2.16_v1.4(04.04.11) " xfId="4"/>
    <cellStyle name="_Расчет RAB_Лен и МОЭСК_с 2010 года_14.04.2009_со сглаж_version 3.0_без ФСК_Книга2_PR.PROG.WARM.NOTCOMBI.2012.2.16_v1.4(04.04.11)  2" xfId="4"/>
    <cellStyle name="Cells 2" xfId="5"/>
    <cellStyle name="Cells 2 2" xfId="5"/>
    <cellStyle name="currency1" xfId="6"/>
    <cellStyle name="currency1 2" xfId="6"/>
    <cellStyle name="Currency2" xfId="7"/>
    <cellStyle name="Currency2 2" xfId="7"/>
    <cellStyle name="currency3" xfId="8"/>
    <cellStyle name="currency3 2" xfId="8"/>
    <cellStyle name="currency4" xfId="9"/>
    <cellStyle name="currency4 2" xfId="9"/>
    <cellStyle name="Followed Hyperlink" xfId="10"/>
    <cellStyle name="Followed Hyperlink 2" xfId="10"/>
    <cellStyle name="Header 3" xfId="11"/>
    <cellStyle name="Header 3 2" xfId="11"/>
    <cellStyle name="normal" xfId="1"/>
    <cellStyle name="normal 2" xfId="1"/>
    <cellStyle name="Normal1" xfId="12"/>
    <cellStyle name="Normal1 2" xfId="12"/>
    <cellStyle name="Normal2" xfId="7"/>
    <cellStyle name="Normal2 2" xfId="7"/>
    <cellStyle name="Percent1" xfId="7"/>
    <cellStyle name="Percent1 2" xfId="7"/>
    <cellStyle name="Title 4" xfId="13"/>
    <cellStyle name="Title 4 2" xfId="13"/>
    <cellStyle name="Ввод  2" xfId="14"/>
    <cellStyle name="Ввод  2 2" xfId="14"/>
    <cellStyle name="Ввод  3" xfId="14"/>
    <cellStyle name="Ввод  3 2" xfId="14"/>
    <cellStyle name="Гиперссылка" xfId="15" builtinId="8"/>
    <cellStyle name="Гиперссылка 2" xfId="16"/>
    <cellStyle name="Гиперссылка 2 2" xfId="17"/>
    <cellStyle name="Гиперссылка 2 2 2" xfId="17"/>
    <cellStyle name="Гиперссылка 2 3" xfId="18"/>
    <cellStyle name="Гиперссылка 2 3 2" xfId="18"/>
    <cellStyle name="Гиперссылка 2 4" xfId="16"/>
    <cellStyle name="Гиперссылка 3" xfId="15"/>
    <cellStyle name="Гиперссылка 4" xfId="19"/>
    <cellStyle name="Гиперссылка 4 2" xfId="15"/>
    <cellStyle name="Гиперссылка 4 2 2" xfId="15"/>
    <cellStyle name="Гиперссылка 4 3" xfId="19"/>
    <cellStyle name="Гиперссылка 5" xfId="15"/>
    <cellStyle name="Гиперссылка 5 2" xfId="15"/>
    <cellStyle name="Границы" xfId="20"/>
    <cellStyle name="Границы 2" xfId="20"/>
    <cellStyle name="Заголовок" xfId="21"/>
    <cellStyle name="Заголовок 2" xfId="21" builtinId="17"/>
    <cellStyle name="ЗаголовокСтолбца" xfId="22"/>
    <cellStyle name="ЗаголовокСтолбца 2" xfId="22"/>
    <cellStyle name="Значение" xfId="23"/>
    <cellStyle name="Значение 2" xfId="23"/>
    <cellStyle name="Обычный" xfId="0" builtinId="0"/>
    <cellStyle name="Обычный 10" xfId="24"/>
    <cellStyle name="Обычный 10 2" xfId="24"/>
    <cellStyle name="Обычный 11" xfId="25"/>
    <cellStyle name="Обычный 11 2" xfId="25"/>
    <cellStyle name="Обычный 11 2 2" xfId="25"/>
    <cellStyle name="Обычный 11 2 2 2" xfId="25"/>
    <cellStyle name="Обычный 11 2 3" xfId="25"/>
    <cellStyle name="Обычный 11 3" xfId="25"/>
    <cellStyle name="Обычный 11 3 2" xfId="25"/>
    <cellStyle name="Обычный 11 4" xfId="25"/>
    <cellStyle name="Обычный 12" xfId="25"/>
    <cellStyle name="Обычный 12 2" xfId="26"/>
    <cellStyle name="Обычный 12 2 2" xfId="26"/>
    <cellStyle name="Обычный 12 3" xfId="25"/>
    <cellStyle name="Обычный 12 3 2" xfId="25"/>
    <cellStyle name="Обычный 12 3 2 2" xfId="25"/>
    <cellStyle name="Обычный 12 3 2 2 2" xfId="25"/>
    <cellStyle name="Обычный 12 3 2 3" xfId="25"/>
    <cellStyle name="Обычный 12 3 3" xfId="25"/>
    <cellStyle name="Обычный 12 3 3 2" xfId="25"/>
    <cellStyle name="Обычный 12 3 4" xfId="25"/>
    <cellStyle name="Обычный 12 4" xfId="25"/>
    <cellStyle name="Обычный 12 4 2" xfId="25"/>
    <cellStyle name="Обычный 12 4 2 2" xfId="25"/>
    <cellStyle name="Обычный 12 4 3" xfId="25"/>
    <cellStyle name="Обычный 12 5" xfId="25"/>
    <cellStyle name="Обычный 12 5 2" xfId="25"/>
    <cellStyle name="Обычный 12 5 2 2" xfId="25"/>
    <cellStyle name="Обычный 12 5 3" xfId="25"/>
    <cellStyle name="Обычный 12 6" xfId="25"/>
    <cellStyle name="Обычный 12 6 2" xfId="25"/>
    <cellStyle name="Обычный 12 6 2 2" xfId="25"/>
    <cellStyle name="Обычный 12 6 3" xfId="25"/>
    <cellStyle name="Обычный 12 7" xfId="25"/>
    <cellStyle name="Обычный 12 7 2" xfId="25"/>
    <cellStyle name="Обычный 12 8" xfId="25"/>
    <cellStyle name="Обычный 13" xfId="27"/>
    <cellStyle name="Обычный 13 2" xfId="27"/>
    <cellStyle name="Обычный 14" xfId="25"/>
    <cellStyle name="Обычный 14 2" xfId="25"/>
    <cellStyle name="Обычный 14 2 2" xfId="25"/>
    <cellStyle name="Обычный 14 2 2 2" xfId="25"/>
    <cellStyle name="Обычный 14 2 2 2 2" xfId="25"/>
    <cellStyle name="Обычный 14 2 2 3" xfId="25"/>
    <cellStyle name="Обычный 14 2 3" xfId="25"/>
    <cellStyle name="Обычный 14 2 3 2" xfId="25"/>
    <cellStyle name="Обычный 14 2 4" xfId="25"/>
    <cellStyle name="Обычный 14 3" xfId="25"/>
    <cellStyle name="Обычный 14 3 2" xfId="25"/>
    <cellStyle name="Обычный 14 3 2 2" xfId="25"/>
    <cellStyle name="Обычный 14 3 3" xfId="25"/>
    <cellStyle name="Обычный 14 4" xfId="25"/>
    <cellStyle name="Обычный 14 4 2" xfId="25"/>
    <cellStyle name="Обычный 14 4 2 2" xfId="25"/>
    <cellStyle name="Обычный 14 4 3" xfId="25"/>
    <cellStyle name="Обычный 14 5" xfId="25"/>
    <cellStyle name="Обычный 14 5 2" xfId="25"/>
    <cellStyle name="Обычный 14 5 2 2" xfId="25"/>
    <cellStyle name="Обычный 14 5 3" xfId="25"/>
    <cellStyle name="Обычный 14 6" xfId="25"/>
    <cellStyle name="Обычный 14 6 2" xfId="25"/>
    <cellStyle name="Обычный 14 6 2 2" xfId="25"/>
    <cellStyle name="Обычный 14 6 2 2 2" xfId="25"/>
    <cellStyle name="Обычный 14 6 2 2 2 2" xfId="25"/>
    <cellStyle name="Обычный 14 6 2 2 3" xfId="25"/>
    <cellStyle name="Обычный 14 6 2 3" xfId="25"/>
    <cellStyle name="Обычный 14 6 2 3 2" xfId="25"/>
    <cellStyle name="Обычный 14 6 2 4" xfId="25"/>
    <cellStyle name="Обычный 14 6 3" xfId="25"/>
    <cellStyle name="Обычный 14 6 3 2" xfId="25"/>
    <cellStyle name="Обычный 14 6 3 2 2" xfId="25"/>
    <cellStyle name="Обычный 14 6 3 3" xfId="25"/>
    <cellStyle name="Обычный 14 6 4" xfId="25"/>
    <cellStyle name="Обычный 14 6 4 2" xfId="25"/>
    <cellStyle name="Обычный 14 6 5" xfId="25"/>
    <cellStyle name="Обычный 14 7" xfId="25"/>
    <cellStyle name="Обычный 14 7 2" xfId="25"/>
    <cellStyle name="Обычный 14 8" xfId="28"/>
    <cellStyle name="Обычный 14 8 2" xfId="28"/>
    <cellStyle name="Обычный 14 9" xfId="25"/>
    <cellStyle name="Обычный 15" xfId="25"/>
    <cellStyle name="Обычный 15 2" xfId="25"/>
    <cellStyle name="Обычный 16" xfId="27"/>
    <cellStyle name="Обычный 16 2" xfId="27"/>
    <cellStyle name="Обычный 17" xfId="25"/>
    <cellStyle name="Обычный 17 2" xfId="25"/>
    <cellStyle name="Обычный 18" xfId="27"/>
    <cellStyle name="Обычный 2" xfId="28"/>
    <cellStyle name="Обычный 2 10 2" xfId="28"/>
    <cellStyle name="Обычный 2 10 2 2" xfId="28"/>
    <cellStyle name="Обычный 2 2" xfId="29"/>
    <cellStyle name="Обычный 2 2 2" xfId="29"/>
    <cellStyle name="Обычный 2 3" xfId="26"/>
    <cellStyle name="Обычный 2 3 2" xfId="26"/>
    <cellStyle name="Обычный 2 4" xfId="27"/>
    <cellStyle name="Обычный 2 4 2" xfId="27"/>
    <cellStyle name="Обычный 2 5" xfId="28"/>
    <cellStyle name="Обычный 3" xfId="24"/>
    <cellStyle name="Обычный 3 2" xfId="27"/>
    <cellStyle name="Обычный 3 2 2" xfId="30"/>
    <cellStyle name="Обычный 3 2 2 2" xfId="30"/>
    <cellStyle name="Обычный 3 2 3" xfId="27"/>
    <cellStyle name="Обычный 3 3" xfId="31"/>
    <cellStyle name="Обычный 3 3 2" xfId="31"/>
    <cellStyle name="Обычный 3 3 2 2" xfId="31"/>
    <cellStyle name="Обычный 3 3 3" xfId="31"/>
    <cellStyle name="Обычный 3 4" xfId="32"/>
    <cellStyle name="Обычный 3 4 2" xfId="24"/>
    <cellStyle name="Обычный 3 4 2 2" xfId="24"/>
    <cellStyle name="Обычный 3 4 3" xfId="32"/>
    <cellStyle name="Обычный 3 5" xfId="24"/>
    <cellStyle name="Обычный 4" xfId="30"/>
    <cellStyle name="Обычный 4 2" xfId="27"/>
    <cellStyle name="Обычный 4 2 2" xfId="27"/>
    <cellStyle name="Обычный 4 3" xfId="30"/>
    <cellStyle name="Обычный 5" xfId="27"/>
    <cellStyle name="Обычный 5 2" xfId="27"/>
    <cellStyle name="Обычный 6" xfId="25"/>
    <cellStyle name="Обычный 6 2" xfId="30"/>
    <cellStyle name="Обычный 6 2 2" xfId="30"/>
    <cellStyle name="Обычный 6 3" xfId="25"/>
    <cellStyle name="Обычный 6 3 2" xfId="25"/>
    <cellStyle name="Обычный 6 4" xfId="25"/>
    <cellStyle name="Обычный 7" xfId="30"/>
    <cellStyle name="Обычный 7 2" xfId="30"/>
    <cellStyle name="Обычный 8" xfId="30"/>
    <cellStyle name="Обычный 8 2" xfId="30"/>
    <cellStyle name="Обычный 9" xfId="30"/>
    <cellStyle name="Обычный 9 2" xfId="30"/>
    <cellStyle name="Обычный_SIMPLE_1_massive2" xfId="33"/>
    <cellStyle name="Обычный_форма 1 водопровод для орг" xfId="34"/>
    <cellStyle name="Открывавшаяся гиперссылка" xfId="35"/>
    <cellStyle name="Открывавшаяся гиперссылка 2" xfId="35"/>
    <cellStyle name="ФормулаВБ_Мониторинг инвестиций" xfId="36"/>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worksheet" Target="worksheets/sheet39.xml"/><Relationship Id="rId21" Type="http://schemas.openxmlformats.org/officeDocument/2006/relationships/worksheet" Target="worksheets/sheet21.xml"/><Relationship Id="rId34" Type="http://schemas.openxmlformats.org/officeDocument/2006/relationships/worksheet" Target="worksheets/sheet34.xml"/><Relationship Id="rId42" Type="http://schemas.openxmlformats.org/officeDocument/2006/relationships/worksheet" Target="worksheets/sheet42.xml"/><Relationship Id="rId47" Type="http://schemas.openxmlformats.org/officeDocument/2006/relationships/worksheet" Target="worksheets/sheet47.xml"/><Relationship Id="rId50" Type="http://schemas.openxmlformats.org/officeDocument/2006/relationships/worksheet" Target="worksheets/sheet50.xml"/><Relationship Id="rId55" Type="http://schemas.openxmlformats.org/officeDocument/2006/relationships/worksheet" Target="worksheets/sheet55.xml"/><Relationship Id="rId63" Type="http://schemas.openxmlformats.org/officeDocument/2006/relationships/worksheet" Target="worksheets/sheet63.xml"/><Relationship Id="rId68" Type="http://schemas.openxmlformats.org/officeDocument/2006/relationships/worksheet" Target="worksheets/sheet68.xml"/><Relationship Id="rId76" Type="http://schemas.openxmlformats.org/officeDocument/2006/relationships/worksheet" Target="worksheets/sheet76.xml"/><Relationship Id="rId84" Type="http://schemas.openxmlformats.org/officeDocument/2006/relationships/worksheet" Target="worksheets/sheet84.xml"/><Relationship Id="rId89" Type="http://schemas.openxmlformats.org/officeDocument/2006/relationships/sharedStrings" Target="sharedStrings.xml"/><Relationship Id="rId7" Type="http://schemas.openxmlformats.org/officeDocument/2006/relationships/worksheet" Target="worksheets/sheet7.xml"/><Relationship Id="rId71" Type="http://schemas.openxmlformats.org/officeDocument/2006/relationships/worksheet" Target="worksheets/sheet71.xml"/><Relationship Id="rId2" Type="http://schemas.openxmlformats.org/officeDocument/2006/relationships/worksheet" Target="worksheets/sheet2.xml"/><Relationship Id="rId16" Type="http://schemas.openxmlformats.org/officeDocument/2006/relationships/worksheet" Target="worksheets/sheet16.xml"/><Relationship Id="rId29" Type="http://schemas.openxmlformats.org/officeDocument/2006/relationships/worksheet" Target="worksheets/sheet29.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worksheet" Target="worksheets/sheet40.xml"/><Relationship Id="rId45" Type="http://schemas.openxmlformats.org/officeDocument/2006/relationships/worksheet" Target="worksheets/sheet45.xml"/><Relationship Id="rId53" Type="http://schemas.openxmlformats.org/officeDocument/2006/relationships/worksheet" Target="worksheets/sheet53.xml"/><Relationship Id="rId58" Type="http://schemas.openxmlformats.org/officeDocument/2006/relationships/worksheet" Target="worksheets/sheet58.xml"/><Relationship Id="rId66" Type="http://schemas.openxmlformats.org/officeDocument/2006/relationships/worksheet" Target="worksheets/sheet66.xml"/><Relationship Id="rId74" Type="http://schemas.openxmlformats.org/officeDocument/2006/relationships/worksheet" Target="worksheets/sheet74.xml"/><Relationship Id="rId79" Type="http://schemas.openxmlformats.org/officeDocument/2006/relationships/worksheet" Target="worksheets/sheet79.xml"/><Relationship Id="rId87" Type="http://schemas.openxmlformats.org/officeDocument/2006/relationships/theme" Target="theme/theme1.xml"/><Relationship Id="rId5" Type="http://schemas.openxmlformats.org/officeDocument/2006/relationships/worksheet" Target="worksheets/sheet5.xml"/><Relationship Id="rId61" Type="http://schemas.openxmlformats.org/officeDocument/2006/relationships/worksheet" Target="worksheets/sheet61.xml"/><Relationship Id="rId82" Type="http://schemas.openxmlformats.org/officeDocument/2006/relationships/worksheet" Target="worksheets/sheet82.xml"/><Relationship Id="rId90" Type="http://schemas.openxmlformats.org/officeDocument/2006/relationships/calcChain" Target="calcChain.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worksheet" Target="worksheets/sheet43.xml"/><Relationship Id="rId48" Type="http://schemas.openxmlformats.org/officeDocument/2006/relationships/worksheet" Target="worksheets/sheet48.xml"/><Relationship Id="rId56" Type="http://schemas.openxmlformats.org/officeDocument/2006/relationships/worksheet" Target="worksheets/sheet56.xml"/><Relationship Id="rId64" Type="http://schemas.openxmlformats.org/officeDocument/2006/relationships/worksheet" Target="worksheets/sheet64.xml"/><Relationship Id="rId69" Type="http://schemas.openxmlformats.org/officeDocument/2006/relationships/worksheet" Target="worksheets/sheet69.xml"/><Relationship Id="rId77" Type="http://schemas.openxmlformats.org/officeDocument/2006/relationships/worksheet" Target="worksheets/sheet77.xml"/><Relationship Id="rId8" Type="http://schemas.openxmlformats.org/officeDocument/2006/relationships/worksheet" Target="worksheets/sheet8.xml"/><Relationship Id="rId51" Type="http://schemas.openxmlformats.org/officeDocument/2006/relationships/worksheet" Target="worksheets/sheet51.xml"/><Relationship Id="rId72" Type="http://schemas.openxmlformats.org/officeDocument/2006/relationships/worksheet" Target="worksheets/sheet72.xml"/><Relationship Id="rId80" Type="http://schemas.openxmlformats.org/officeDocument/2006/relationships/worksheet" Target="worksheets/sheet80.xml"/><Relationship Id="rId85" Type="http://schemas.openxmlformats.org/officeDocument/2006/relationships/worksheet" Target="worksheets/sheet85.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worksheet" Target="worksheets/sheet46.xml"/><Relationship Id="rId59" Type="http://schemas.openxmlformats.org/officeDocument/2006/relationships/worksheet" Target="worksheets/sheet59.xml"/><Relationship Id="rId67" Type="http://schemas.openxmlformats.org/officeDocument/2006/relationships/worksheet" Target="worksheets/sheet67.xml"/><Relationship Id="rId20" Type="http://schemas.openxmlformats.org/officeDocument/2006/relationships/worksheet" Target="worksheets/sheet20.xml"/><Relationship Id="rId41" Type="http://schemas.openxmlformats.org/officeDocument/2006/relationships/worksheet" Target="worksheets/sheet41.xml"/><Relationship Id="rId54" Type="http://schemas.openxmlformats.org/officeDocument/2006/relationships/worksheet" Target="worksheets/sheet54.xml"/><Relationship Id="rId62" Type="http://schemas.openxmlformats.org/officeDocument/2006/relationships/worksheet" Target="worksheets/sheet62.xml"/><Relationship Id="rId70" Type="http://schemas.openxmlformats.org/officeDocument/2006/relationships/worksheet" Target="worksheets/sheet70.xml"/><Relationship Id="rId75" Type="http://schemas.openxmlformats.org/officeDocument/2006/relationships/worksheet" Target="worksheets/sheet75.xml"/><Relationship Id="rId83" Type="http://schemas.openxmlformats.org/officeDocument/2006/relationships/worksheet" Target="worksheets/sheet83.xml"/><Relationship Id="rId88"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worksheet" Target="worksheets/sheet49.xml"/><Relationship Id="rId57" Type="http://schemas.openxmlformats.org/officeDocument/2006/relationships/worksheet" Target="worksheets/sheet57.xml"/><Relationship Id="rId10" Type="http://schemas.openxmlformats.org/officeDocument/2006/relationships/worksheet" Target="worksheets/sheet10.xml"/><Relationship Id="rId31" Type="http://schemas.openxmlformats.org/officeDocument/2006/relationships/worksheet" Target="worksheets/sheet31.xml"/><Relationship Id="rId44" Type="http://schemas.openxmlformats.org/officeDocument/2006/relationships/worksheet" Target="worksheets/sheet44.xml"/><Relationship Id="rId52" Type="http://schemas.openxmlformats.org/officeDocument/2006/relationships/worksheet" Target="worksheets/sheet52.xml"/><Relationship Id="rId60" Type="http://schemas.openxmlformats.org/officeDocument/2006/relationships/worksheet" Target="worksheets/sheet60.xml"/><Relationship Id="rId65" Type="http://schemas.openxmlformats.org/officeDocument/2006/relationships/worksheet" Target="worksheets/sheet65.xml"/><Relationship Id="rId73" Type="http://schemas.openxmlformats.org/officeDocument/2006/relationships/worksheet" Target="worksheets/sheet73.xml"/><Relationship Id="rId78" Type="http://schemas.openxmlformats.org/officeDocument/2006/relationships/worksheet" Target="worksheets/sheet78.xml"/><Relationship Id="rId81" Type="http://schemas.openxmlformats.org/officeDocument/2006/relationships/worksheet" Target="worksheets/sheet81.xml"/><Relationship Id="rId86" Type="http://schemas.openxmlformats.org/officeDocument/2006/relationships/worksheet" Target="worksheets/sheet86.xml"/></Relationships>
</file>

<file path=xl/drawings/_rels/drawing1.xml.rels><?xml version="1.0" encoding="UTF-8" standalone="yes"?>
<Relationships xmlns="http://schemas.openxmlformats.org/package/2006/relationships"><Relationship Id="rId3" Type="http://schemas.openxmlformats.org/officeDocument/2006/relationships/image" Target="../media/image3.jpeg"/><Relationship Id="rId2" Type="http://schemas.openxmlformats.org/officeDocument/2006/relationships/image" Target="../media/image2.png"/><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2" Type="http://schemas.openxmlformats.org/officeDocument/2006/relationships/image" Target="../media/image5.png"/><Relationship Id="rId1" Type="http://schemas.openxmlformats.org/officeDocument/2006/relationships/image" Target="../media/image4.png"/></Relationships>
</file>

<file path=xl/drawings/_rels/drawing3.xml.rels><?xml version="1.0" encoding="UTF-8" standalone="yes"?>
<Relationships xmlns="http://schemas.openxmlformats.org/package/2006/relationships"><Relationship Id="rId1" Type="http://schemas.openxmlformats.org/officeDocument/2006/relationships/image" Target="../media/image5.png"/></Relationships>
</file>

<file path=xl/drawings/_rels/drawing4.xml.rels><?xml version="1.0" encoding="UTF-8" standalone="yes"?>
<Relationships xmlns="http://schemas.openxmlformats.org/package/2006/relationships"><Relationship Id="rId1" Type="http://schemas.openxmlformats.org/officeDocument/2006/relationships/image" Target="../media/image6.png"/></Relationships>
</file>

<file path=xl/drawings/_rels/drawing5.xml.rels><?xml version="1.0" encoding="UTF-8" standalone="yes"?>
<Relationships xmlns="http://schemas.openxmlformats.org/package/2006/relationships"><Relationship Id="rId1" Type="http://schemas.openxmlformats.org/officeDocument/2006/relationships/image" Target="../media/image6.png"/></Relationships>
</file>

<file path=xl/drawings/_rels/drawing6.xml.rels><?xml version="1.0" encoding="UTF-8" standalone="yes"?>
<Relationships xmlns="http://schemas.openxmlformats.org/package/2006/relationships"><Relationship Id="rId1" Type="http://schemas.openxmlformats.org/officeDocument/2006/relationships/image" Target="../media/image6.png"/></Relationships>
</file>

<file path=xl/drawings/drawing1.xml><?xml version="1.0" encoding="utf-8"?>
<xdr:wsDr xmlns:xdr="http://schemas.openxmlformats.org/drawingml/2006/spreadsheetDrawing" xmlns:a="http://schemas.openxmlformats.org/drawingml/2006/main">
  <xdr:twoCellAnchor editAs="oneCell">
    <xdr:from>
      <xdr:col>7</xdr:col>
      <xdr:colOff>0</xdr:colOff>
      <xdr:row>4</xdr:row>
      <xdr:rowOff>0</xdr:rowOff>
    </xdr:from>
    <xdr:to>
      <xdr:col>8</xdr:col>
      <xdr:colOff>219075</xdr:colOff>
      <xdr:row>4</xdr:row>
      <xdr:rowOff>219075</xdr:rowOff>
    </xdr:to>
    <xdr:pic>
      <xdr:nvPicPr>
        <xdr:cNvPr id="2" name="cmdCreatePrintedForm" descr="Создание печатной формы" hidden="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twoCellAnchor editAs="oneCell">
    <xdr:from>
      <xdr:col>4</xdr:col>
      <xdr:colOff>0</xdr:colOff>
      <xdr:row>28</xdr:row>
      <xdr:rowOff>0</xdr:rowOff>
    </xdr:from>
    <xdr:to>
      <xdr:col>4</xdr:col>
      <xdr:colOff>288036</xdr:colOff>
      <xdr:row>29</xdr:row>
      <xdr:rowOff>0</xdr:rowOff>
    </xdr:to>
    <xdr:pic>
      <xdr:nvPicPr>
        <xdr:cNvPr id="3" name="UPDATE_PLAN1X_DATA" descr="update_org.png" hidden="1"/>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twoCellAnchor editAs="oneCell">
    <xdr:from>
      <xdr:col>3</xdr:col>
      <xdr:colOff>104775</xdr:colOff>
      <xdr:row>63</xdr:row>
      <xdr:rowOff>76200</xdr:rowOff>
    </xdr:from>
    <xdr:to>
      <xdr:col>4</xdr:col>
      <xdr:colOff>312325</xdr:colOff>
      <xdr:row>63</xdr:row>
      <xdr:rowOff>400241</xdr:rowOff>
    </xdr:to>
    <xdr:pic>
      <xdr:nvPicPr>
        <xdr:cNvPr id="4" name="PHONE_PIC" descr="update_org.png" hidden="1"/>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6</xdr:col>
      <xdr:colOff>0</xdr:colOff>
      <xdr:row>8</xdr:row>
      <xdr:rowOff>0</xdr:rowOff>
    </xdr:from>
    <xdr:to>
      <xdr:col>6</xdr:col>
      <xdr:colOff>219075</xdr:colOff>
      <xdr:row>8</xdr:row>
      <xdr:rowOff>219075</xdr:rowOff>
    </xdr:to>
    <xdr:pic>
      <xdr:nvPicPr>
        <xdr:cNvPr id="2" name="ExcludeHelp_2" descr="Справка по листу" hidden="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twoCellAnchor>
    <xdr:from>
      <xdr:col>4</xdr:col>
      <xdr:colOff>114300</xdr:colOff>
      <xdr:row>5</xdr:row>
      <xdr:rowOff>0</xdr:rowOff>
    </xdr:from>
    <xdr:to>
      <xdr:col>6</xdr:col>
      <xdr:colOff>18764</xdr:colOff>
      <xdr:row>6</xdr:row>
      <xdr:rowOff>0</xdr:rowOff>
    </xdr:to>
    <xdr:pic>
      <xdr:nvPicPr>
        <xdr:cNvPr id="3" name="Рисунок 1" hidden="1"/>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wsDr>
</file>

<file path=xl/drawings/drawing3.xml><?xml version="1.0" encoding="utf-8"?>
<xdr:wsDr xmlns:xdr="http://schemas.openxmlformats.org/drawingml/2006/spreadsheetDrawing" xmlns:a="http://schemas.openxmlformats.org/drawingml/2006/main">
  <xdr:twoCellAnchor>
    <xdr:from>
      <xdr:col>3</xdr:col>
      <xdr:colOff>73533</xdr:colOff>
      <xdr:row>6</xdr:row>
      <xdr:rowOff>0</xdr:rowOff>
    </xdr:from>
    <xdr:to>
      <xdr:col>4</xdr:col>
      <xdr:colOff>155734</xdr:colOff>
      <xdr:row>6</xdr:row>
      <xdr:rowOff>0</xdr:rowOff>
    </xdr:to>
    <xdr:pic>
      <xdr:nvPicPr>
        <xdr:cNvPr id="2" name="Рисунок 8" hidden="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wsDr>
</file>

<file path=xl/drawings/drawing4.xml><?xml version="1.0" encoding="utf-8"?>
<xdr:wsDr xmlns:xdr="http://schemas.openxmlformats.org/drawingml/2006/spreadsheetDrawing" xmlns:a="http://schemas.openxmlformats.org/drawingml/2006/main">
  <xdr:twoCellAnchor>
    <xdr:from>
      <xdr:col>0</xdr:col>
      <xdr:colOff>0</xdr:colOff>
      <xdr:row>13</xdr:row>
      <xdr:rowOff>0</xdr:rowOff>
    </xdr:from>
    <xdr:to>
      <xdr:col>3</xdr:col>
      <xdr:colOff>0</xdr:colOff>
      <xdr:row>13</xdr:row>
      <xdr:rowOff>247650</xdr:rowOff>
    </xdr:to>
    <xdr:pic>
      <xdr:nvPicPr>
        <xdr:cNvPr id="2" name="UNFREEZE_PANES" descr="update_org.png" hidden="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wsDr>
</file>

<file path=xl/drawings/drawing5.xml><?xml version="1.0" encoding="utf-8"?>
<xdr:wsDr xmlns:xdr="http://schemas.openxmlformats.org/drawingml/2006/spreadsheetDrawing" xmlns:a="http://schemas.openxmlformats.org/drawingml/2006/main">
  <xdr:twoCellAnchor>
    <xdr:from>
      <xdr:col>0</xdr:col>
      <xdr:colOff>0</xdr:colOff>
      <xdr:row>4</xdr:row>
      <xdr:rowOff>0</xdr:rowOff>
    </xdr:from>
    <xdr:to>
      <xdr:col>3</xdr:col>
      <xdr:colOff>0</xdr:colOff>
      <xdr:row>4</xdr:row>
      <xdr:rowOff>247650</xdr:rowOff>
    </xdr:to>
    <xdr:pic>
      <xdr:nvPicPr>
        <xdr:cNvPr id="2" name="UNFREEZE_PANES" descr="update_org.png" hidden="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wsDr>
</file>

<file path=xl/drawings/drawing6.xml><?xml version="1.0" encoding="utf-8"?>
<xdr:wsDr xmlns:xdr="http://schemas.openxmlformats.org/drawingml/2006/spreadsheetDrawing" xmlns:a="http://schemas.openxmlformats.org/drawingml/2006/main">
  <xdr:twoCellAnchor>
    <xdr:from>
      <xdr:col>0</xdr:col>
      <xdr:colOff>0</xdr:colOff>
      <xdr:row>4</xdr:row>
      <xdr:rowOff>0</xdr:rowOff>
    </xdr:from>
    <xdr:to>
      <xdr:col>3</xdr:col>
      <xdr:colOff>0</xdr:colOff>
      <xdr:row>4</xdr:row>
      <xdr:rowOff>247650</xdr:rowOff>
    </xdr:to>
    <xdr:pic>
      <xdr:nvPicPr>
        <xdr:cNvPr id="2" name="UNFREEZE_PANES" descr="update_org.png" hidden="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wsDr>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Тема 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2.xml.rels><?xml version="1.0" encoding="UTF-8" standalone="yes"?>
<Relationships xmlns="http://schemas.openxmlformats.org/package/2006/relationships"><Relationship Id="rId2" Type="http://schemas.openxmlformats.org/officeDocument/2006/relationships/comments" Target="../comments2.xml"/><Relationship Id="rId1" Type="http://schemas.openxmlformats.org/officeDocument/2006/relationships/vmlDrawing" Target="../drawings/vmlDrawing2.vml"/></Relationships>
</file>

<file path=xl/worksheets/_rels/sheet13.xml.rels><?xml version="1.0" encoding="UTF-8" standalone="yes"?>
<Relationships xmlns="http://schemas.openxmlformats.org/package/2006/relationships"><Relationship Id="rId2" Type="http://schemas.openxmlformats.org/officeDocument/2006/relationships/comments" Target="../comments3.xml"/><Relationship Id="rId1" Type="http://schemas.openxmlformats.org/officeDocument/2006/relationships/vmlDrawing" Target="../drawings/vmlDrawing3.vml"/></Relationships>
</file>

<file path=xl/worksheets/_rels/sheet2.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1.bin"/><Relationship Id="rId1" Type="http://schemas.openxmlformats.org/officeDocument/2006/relationships/hyperlink" Target="mailto:komunenergo@bk.ru" TargetMode="External"/><Relationship Id="rId5" Type="http://schemas.openxmlformats.org/officeDocument/2006/relationships/comments" Target="../comments1.xml"/><Relationship Id="rId4" Type="http://schemas.openxmlformats.org/officeDocument/2006/relationships/vmlDrawing" Target="../drawings/vmlDrawing1.vml"/></Relationships>
</file>

<file path=xl/worksheets/_rels/sheet28.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29.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4.xml.rels><?xml version="1.0" encoding="UTF-8" standalone="yes"?>
<Relationships xmlns="http://schemas.openxmlformats.org/package/2006/relationships"><Relationship Id="rId1" Type="http://schemas.openxmlformats.org/officeDocument/2006/relationships/drawing" Target="../drawings/drawing6.xml"/></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0.xml.rels><?xml version="1.0" encoding="UTF-8" standalone="yes"?>
<Relationships xmlns="http://schemas.openxmlformats.org/package/2006/relationships"><Relationship Id="rId2" Type="http://schemas.openxmlformats.org/officeDocument/2006/relationships/printerSettings" Target="../printerSettings/printerSettings4.bin"/><Relationship Id="rId1" Type="http://schemas.openxmlformats.org/officeDocument/2006/relationships/hyperlink" Target="https://portal.eias.ru/Portal/DownloadPage.aspx?type=12&amp;guid=aae6340c-519a-44a4-a13a-d7a6a8f11a3a" TargetMode="External"/></Relationships>
</file>

<file path=xl/worksheets/_rels/sheet44.xml.rels><?xml version="1.0" encoding="UTF-8" standalone="yes"?>
<Relationships xmlns="http://schemas.openxmlformats.org/package/2006/relationships"><Relationship Id="rId3" Type="http://schemas.openxmlformats.org/officeDocument/2006/relationships/printerSettings" Target="../printerSettings/printerSettings5.bin"/><Relationship Id="rId2" Type="http://schemas.openxmlformats.org/officeDocument/2006/relationships/hyperlink" Target="file:///C:\Users\eias.TEPLOSBYT\Downloads\'&#1055;&#1086;&#1082;&#1072;&#1079;&#1072;&#1090;&#1077;&#1083;&#1080;%20&#1050;&#1053;&#1069;'!$I$75" TargetMode="External"/><Relationship Id="rId1" Type="http://schemas.openxmlformats.org/officeDocument/2006/relationships/hyperlink" Target="file:///C:\Users\eias.TEPLOSBYT\Downloads\'&#1055;&#1086;&#1082;&#1072;&#1079;&#1072;&#1090;&#1077;&#1083;&#1080;%20&#1050;&#1053;&#1069;'!$I$74"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B21"/>
  <sheetViews>
    <sheetView showGridLines="0" showRowColHeaders="0" workbookViewId="0"/>
  </sheetViews>
  <sheetFormatPr defaultColWidth="11" defaultRowHeight="12.75" customHeight="1"/>
  <cols>
    <col min="1" max="1" width="5.42578125" style="1731" customWidth="1"/>
    <col min="2" max="2" width="9.140625" style="1731" customWidth="1"/>
    <col min="3" max="3" width="16.42578125" style="1731" customWidth="1"/>
    <col min="4" max="25" width="6.28515625" style="1731" customWidth="1"/>
    <col min="26" max="28" width="11" style="1731"/>
  </cols>
  <sheetData>
    <row r="1" spans="1:28" ht="15.75" customHeight="1">
      <c r="A1" s="1557"/>
      <c r="B1" s="1558"/>
      <c r="C1" s="1558"/>
      <c r="D1" s="1558"/>
      <c r="E1" s="1558"/>
      <c r="F1" s="1558"/>
      <c r="G1" s="1558"/>
      <c r="H1" s="1558"/>
      <c r="I1" s="1558"/>
      <c r="J1" s="1558"/>
      <c r="K1" s="1558"/>
      <c r="L1" s="1558"/>
      <c r="M1" s="1558"/>
      <c r="N1" s="1558"/>
      <c r="O1" s="1558"/>
      <c r="P1" s="1558"/>
      <c r="Q1" s="1558"/>
      <c r="R1" s="1558"/>
      <c r="S1" s="1558"/>
      <c r="T1" s="1558"/>
      <c r="U1" s="1558"/>
      <c r="V1" s="1558"/>
      <c r="W1" s="1558"/>
      <c r="X1" s="1558"/>
      <c r="Y1" s="1559"/>
      <c r="Z1" s="1558"/>
      <c r="AA1" s="1560" t="s">
        <v>0</v>
      </c>
      <c r="AB1" s="1558"/>
    </row>
    <row r="2" spans="1:28" ht="17.25" customHeight="1">
      <c r="A2" s="1558"/>
      <c r="B2" s="1980" t="s">
        <v>1</v>
      </c>
      <c r="C2" s="1980"/>
      <c r="D2" s="1980"/>
      <c r="E2" s="1980"/>
      <c r="F2" s="1980"/>
      <c r="G2" s="1980"/>
      <c r="H2" s="1980"/>
      <c r="I2" s="1980"/>
      <c r="J2" s="1980"/>
      <c r="K2" s="1980"/>
      <c r="L2" s="1980"/>
      <c r="M2" s="1980"/>
      <c r="N2" s="1980"/>
      <c r="O2" s="1980"/>
      <c r="P2" s="1980"/>
      <c r="Q2" s="1561"/>
      <c r="R2" s="1561"/>
      <c r="S2" s="1561"/>
      <c r="T2" s="1561"/>
      <c r="U2" s="1561"/>
      <c r="V2" s="1562"/>
      <c r="W2" s="1561"/>
      <c r="X2" s="1561"/>
      <c r="Y2" s="1559"/>
      <c r="Z2" s="1558"/>
      <c r="AA2" s="1560"/>
      <c r="AB2" s="1558"/>
    </row>
    <row r="3" spans="1:28" ht="15.75" customHeight="1">
      <c r="A3" s="1558"/>
      <c r="B3" s="1981" t="s">
        <v>2</v>
      </c>
      <c r="C3" s="1981"/>
      <c r="D3" s="1981"/>
      <c r="E3" s="1981"/>
      <c r="F3" s="1981"/>
      <c r="G3" s="1981"/>
      <c r="H3" s="1981"/>
      <c r="I3" s="1981"/>
      <c r="J3" s="1981"/>
      <c r="K3" s="1981"/>
      <c r="L3" s="1981"/>
      <c r="M3" s="1981"/>
      <c r="N3" s="1981"/>
      <c r="O3" s="1981"/>
      <c r="P3" s="1981"/>
      <c r="Q3" s="1562"/>
      <c r="R3" s="1562"/>
      <c r="S3" s="1561"/>
      <c r="T3" s="1561"/>
      <c r="U3" s="1561"/>
      <c r="V3" s="1562"/>
      <c r="W3" s="1562"/>
      <c r="X3" s="1562"/>
      <c r="Y3" s="1562"/>
      <c r="Z3" s="1558"/>
      <c r="AA3" s="1560"/>
      <c r="AB3" s="1558"/>
    </row>
    <row r="4" spans="1:28" ht="17.25" customHeight="1">
      <c r="A4" s="1558"/>
      <c r="B4" s="1563"/>
      <c r="C4" s="1558"/>
      <c r="D4" s="1562"/>
      <c r="E4" s="1562"/>
      <c r="F4" s="1562"/>
      <c r="G4" s="1562"/>
      <c r="H4" s="1562"/>
      <c r="I4" s="1562"/>
      <c r="J4" s="1562"/>
      <c r="K4" s="1562"/>
      <c r="L4" s="1562"/>
      <c r="M4" s="1562"/>
      <c r="N4" s="1562"/>
      <c r="O4" s="1562"/>
      <c r="P4" s="1562"/>
      <c r="Q4" s="1562"/>
      <c r="R4" s="1562"/>
      <c r="S4" s="1562"/>
      <c r="T4" s="1562"/>
      <c r="U4" s="1562"/>
      <c r="V4" s="1562"/>
      <c r="W4" s="1562"/>
      <c r="X4" s="1562"/>
      <c r="Y4" s="1562"/>
      <c r="Z4" s="1558"/>
      <c r="AA4" s="1560"/>
      <c r="AB4" s="1558"/>
    </row>
    <row r="5" spans="1:28" ht="22.5" customHeight="1">
      <c r="A5" s="1564"/>
      <c r="B5" s="1982" t="str">
        <f>IF(TEMPLATE_SPHERE="","Информация, подлежащая раскрытию регулируемыми организациями",Титульный!E5)</f>
        <v>Информация о показателях финансово-хозяйственной деятельности, об основных потребительских характеристиках регулируемых товаров и услуг, об инвестиционных программах</v>
      </c>
      <c r="C5" s="1983"/>
      <c r="D5" s="1983"/>
      <c r="E5" s="1983"/>
      <c r="F5" s="1983"/>
      <c r="G5" s="1983"/>
      <c r="H5" s="1983"/>
      <c r="I5" s="1983"/>
      <c r="J5" s="1983"/>
      <c r="K5" s="1983"/>
      <c r="L5" s="1983"/>
      <c r="M5" s="1983"/>
      <c r="N5" s="1983"/>
      <c r="O5" s="1983"/>
      <c r="P5" s="1983"/>
      <c r="Q5" s="1983"/>
      <c r="R5" s="1983"/>
      <c r="S5" s="1983"/>
      <c r="T5" s="1983"/>
      <c r="U5" s="1983"/>
      <c r="V5" s="1983"/>
      <c r="W5" s="1983"/>
      <c r="X5" s="1983"/>
      <c r="Y5" s="1984"/>
      <c r="Z5" s="1564"/>
      <c r="AA5" s="1560"/>
      <c r="AB5" s="1564"/>
    </row>
    <row r="6" spans="1:28" ht="15" customHeight="1">
      <c r="A6" s="1565"/>
      <c r="B6" s="1972" t="s">
        <v>3</v>
      </c>
      <c r="C6" s="1975"/>
      <c r="D6" s="1566"/>
      <c r="E6" s="1566"/>
      <c r="F6" s="1566"/>
      <c r="G6" s="1566"/>
      <c r="H6" s="1566"/>
      <c r="I6" s="1566"/>
      <c r="J6" s="1566"/>
      <c r="K6" s="1566"/>
      <c r="L6" s="1566"/>
      <c r="M6" s="1566"/>
      <c r="N6" s="1566"/>
      <c r="O6" s="1566"/>
      <c r="P6" s="1566"/>
      <c r="Q6" s="1566"/>
      <c r="R6" s="1566"/>
      <c r="S6" s="1566"/>
      <c r="T6" s="1566"/>
      <c r="U6" s="1566"/>
      <c r="V6" s="1566"/>
      <c r="W6" s="1566"/>
      <c r="X6" s="1566"/>
      <c r="Y6" s="1567"/>
      <c r="Z6" s="1568"/>
      <c r="AA6" s="1569"/>
      <c r="AB6" s="1569"/>
    </row>
    <row r="7" spans="1:28" ht="15" customHeight="1">
      <c r="A7" s="1565"/>
      <c r="B7" s="1972"/>
      <c r="C7" s="1975"/>
      <c r="D7" s="1566"/>
      <c r="E7" s="1566"/>
      <c r="F7" s="1570"/>
      <c r="G7" s="1570"/>
      <c r="H7" s="1570"/>
      <c r="I7" s="1570"/>
      <c r="J7" s="1570"/>
      <c r="K7" s="1570"/>
      <c r="L7" s="1570"/>
      <c r="M7" s="1570"/>
      <c r="N7" s="1570"/>
      <c r="O7" s="1566"/>
      <c r="P7" s="1570"/>
      <c r="Q7" s="1570"/>
      <c r="R7" s="1570"/>
      <c r="S7" s="1570"/>
      <c r="T7" s="1570"/>
      <c r="U7" s="1570"/>
      <c r="V7" s="1570"/>
      <c r="W7" s="1570"/>
      <c r="X7" s="1570"/>
      <c r="Y7" s="1567"/>
      <c r="Z7" s="1568"/>
      <c r="AA7" s="1569"/>
      <c r="AB7" s="1569"/>
    </row>
    <row r="8" spans="1:28" ht="15" customHeight="1">
      <c r="A8" s="1565"/>
      <c r="B8" s="1972"/>
      <c r="C8" s="1975"/>
      <c r="D8" s="1571"/>
      <c r="E8" s="1572" t="s">
        <v>4</v>
      </c>
      <c r="F8" s="1985" t="s">
        <v>5</v>
      </c>
      <c r="G8" s="1974"/>
      <c r="H8" s="1974"/>
      <c r="I8" s="1974"/>
      <c r="J8" s="1974"/>
      <c r="K8" s="1974"/>
      <c r="L8" s="1974"/>
      <c r="M8" s="1974"/>
      <c r="N8" s="1571"/>
      <c r="O8" s="1573" t="s">
        <v>4</v>
      </c>
      <c r="P8" s="1986" t="s">
        <v>6</v>
      </c>
      <c r="Q8" s="1987"/>
      <c r="R8" s="1987"/>
      <c r="S8" s="1987"/>
      <c r="T8" s="1987"/>
      <c r="U8" s="1987"/>
      <c r="V8" s="1987"/>
      <c r="W8" s="1987"/>
      <c r="X8" s="1987"/>
      <c r="Y8" s="1567"/>
      <c r="Z8" s="1568"/>
      <c r="AA8" s="1569"/>
      <c r="AB8" s="1569"/>
    </row>
    <row r="9" spans="1:28" ht="15" customHeight="1">
      <c r="A9" s="1565"/>
      <c r="B9" s="1972"/>
      <c r="C9" s="1975"/>
      <c r="D9" s="1571"/>
      <c r="E9" s="1574" t="s">
        <v>4</v>
      </c>
      <c r="F9" s="1985" t="s">
        <v>7</v>
      </c>
      <c r="G9" s="1974"/>
      <c r="H9" s="1974"/>
      <c r="I9" s="1974"/>
      <c r="J9" s="1974"/>
      <c r="K9" s="1974"/>
      <c r="L9" s="1974"/>
      <c r="M9" s="1974"/>
      <c r="N9" s="1571"/>
      <c r="O9" s="1575" t="s">
        <v>4</v>
      </c>
      <c r="P9" s="1986" t="s">
        <v>8</v>
      </c>
      <c r="Q9" s="1987"/>
      <c r="R9" s="1987"/>
      <c r="S9" s="1987"/>
      <c r="T9" s="1987"/>
      <c r="U9" s="1987"/>
      <c r="V9" s="1987"/>
      <c r="W9" s="1987"/>
      <c r="X9" s="1987"/>
      <c r="Y9" s="1567"/>
      <c r="Z9" s="1568"/>
      <c r="AA9" s="1569"/>
      <c r="AB9" s="1569"/>
    </row>
    <row r="10" spans="1:28" ht="30" customHeight="1">
      <c r="A10" s="1565"/>
      <c r="B10" s="1972"/>
      <c r="C10" s="1973"/>
      <c r="D10" s="1576"/>
      <c r="E10" s="1577"/>
      <c r="F10" s="1570"/>
      <c r="G10" s="1570"/>
      <c r="H10" s="1570"/>
      <c r="I10" s="1570"/>
      <c r="J10" s="1570"/>
      <c r="K10" s="1570"/>
      <c r="L10" s="1570"/>
      <c r="M10" s="1570"/>
      <c r="N10" s="1570"/>
      <c r="O10" s="1577"/>
      <c r="P10" s="1570"/>
      <c r="Q10" s="1570"/>
      <c r="R10" s="1570"/>
      <c r="S10" s="1570"/>
      <c r="T10" s="1570"/>
      <c r="U10" s="1570"/>
      <c r="V10" s="1570"/>
      <c r="W10" s="1570"/>
      <c r="X10" s="1570"/>
      <c r="Y10" s="1567"/>
      <c r="Z10" s="1568"/>
      <c r="AA10" s="1569"/>
      <c r="AB10" s="1569"/>
    </row>
    <row r="11" spans="1:28" ht="19.5" customHeight="1">
      <c r="A11" s="1565"/>
      <c r="B11" s="1" t="s">
        <v>9</v>
      </c>
      <c r="C11" s="2"/>
      <c r="D11" s="1571"/>
      <c r="E11" s="1578"/>
      <c r="F11" s="1578"/>
      <c r="G11" s="1578"/>
      <c r="H11" s="1578"/>
      <c r="I11" s="1578"/>
      <c r="J11" s="1578"/>
      <c r="K11" s="1578"/>
      <c r="L11" s="1578"/>
      <c r="M11" s="1578"/>
      <c r="N11" s="1578"/>
      <c r="O11" s="1578"/>
      <c r="P11" s="1578"/>
      <c r="Q11" s="1578"/>
      <c r="R11" s="1578"/>
      <c r="S11" s="1578"/>
      <c r="T11" s="1578"/>
      <c r="U11" s="1578"/>
      <c r="V11" s="1578"/>
      <c r="W11" s="1578"/>
      <c r="X11" s="1578"/>
      <c r="Y11" s="1567"/>
      <c r="Z11" s="1568"/>
      <c r="AA11" s="1569"/>
      <c r="AB11" s="1569"/>
    </row>
    <row r="12" spans="1:28" ht="69" customHeight="1">
      <c r="A12" s="1565"/>
      <c r="B12" s="1972"/>
      <c r="C12" s="1973"/>
      <c r="D12" s="1579"/>
      <c r="E12" s="1974" t="s">
        <v>10</v>
      </c>
      <c r="F12" s="1974"/>
      <c r="G12" s="1974"/>
      <c r="H12" s="1974"/>
      <c r="I12" s="1974"/>
      <c r="J12" s="1974"/>
      <c r="K12" s="1974"/>
      <c r="L12" s="1974"/>
      <c r="M12" s="1974"/>
      <c r="N12" s="1974"/>
      <c r="O12" s="1974"/>
      <c r="P12" s="1974"/>
      <c r="Q12" s="1974"/>
      <c r="R12" s="1974"/>
      <c r="S12" s="1974"/>
      <c r="T12" s="1974"/>
      <c r="U12" s="1974"/>
      <c r="V12" s="1974"/>
      <c r="W12" s="1974"/>
      <c r="X12" s="1974"/>
      <c r="Y12" s="1567"/>
      <c r="Z12" s="1568"/>
      <c r="AA12" s="1569"/>
      <c r="AB12" s="1569"/>
    </row>
    <row r="13" spans="1:28" ht="15" customHeight="1">
      <c r="A13" s="1565"/>
      <c r="B13" s="1" t="s">
        <v>11</v>
      </c>
      <c r="C13" s="2"/>
      <c r="D13" s="1566"/>
      <c r="E13" s="1578"/>
      <c r="F13" s="1578"/>
      <c r="G13" s="1578"/>
      <c r="H13" s="1578"/>
      <c r="I13" s="1578"/>
      <c r="J13" s="1578"/>
      <c r="K13" s="1578"/>
      <c r="L13" s="1578"/>
      <c r="M13" s="1578"/>
      <c r="N13" s="1578"/>
      <c r="O13" s="1578"/>
      <c r="P13" s="1578"/>
      <c r="Q13" s="1578"/>
      <c r="R13" s="1578"/>
      <c r="S13" s="1578"/>
      <c r="T13" s="1578"/>
      <c r="U13" s="1578"/>
      <c r="V13" s="1578"/>
      <c r="W13" s="1578"/>
      <c r="X13" s="1578"/>
      <c r="Y13" s="1567"/>
      <c r="Z13" s="1568"/>
      <c r="AA13" s="1569"/>
      <c r="AB13" s="1569"/>
    </row>
    <row r="14" spans="1:28" ht="57" customHeight="1">
      <c r="A14" s="1565"/>
      <c r="B14" s="1972"/>
      <c r="C14" s="1975"/>
      <c r="D14" s="1571"/>
      <c r="E14" s="1978" t="s">
        <v>12</v>
      </c>
      <c r="F14" s="1978"/>
      <c r="G14" s="1978"/>
      <c r="H14" s="1978"/>
      <c r="I14" s="1978"/>
      <c r="J14" s="1978"/>
      <c r="K14" s="1978"/>
      <c r="L14" s="1978"/>
      <c r="M14" s="1978"/>
      <c r="N14" s="1978"/>
      <c r="O14" s="1978"/>
      <c r="P14" s="1978"/>
      <c r="Q14" s="1978"/>
      <c r="R14" s="1978"/>
      <c r="S14" s="1978"/>
      <c r="T14" s="1978"/>
      <c r="U14" s="1978"/>
      <c r="V14" s="1978"/>
      <c r="W14" s="1978"/>
      <c r="X14" s="1978"/>
      <c r="Y14" s="1567"/>
      <c r="Z14" s="1568"/>
      <c r="AA14" s="1569"/>
      <c r="AB14" s="1569"/>
    </row>
    <row r="15" spans="1:28" ht="16.5" customHeight="1">
      <c r="A15" s="1565"/>
      <c r="B15" s="1976"/>
      <c r="C15" s="1977"/>
      <c r="D15" s="1580"/>
      <c r="E15" s="1581"/>
      <c r="F15" s="1581"/>
      <c r="G15" s="1581"/>
      <c r="H15" s="1581"/>
      <c r="I15" s="1581"/>
      <c r="J15" s="1581"/>
      <c r="K15" s="1581"/>
      <c r="L15" s="1581"/>
      <c r="M15" s="1581"/>
      <c r="N15" s="1581"/>
      <c r="O15" s="1581"/>
      <c r="P15" s="1581"/>
      <c r="Q15" s="1581"/>
      <c r="R15" s="1581"/>
      <c r="S15" s="1581"/>
      <c r="T15" s="1581"/>
      <c r="U15" s="1581"/>
      <c r="V15" s="1581"/>
      <c r="W15" s="1581"/>
      <c r="X15" s="1581"/>
      <c r="Y15" s="1582"/>
      <c r="Z15" s="1568"/>
      <c r="AA15" s="1583"/>
      <c r="AB15" s="1569"/>
    </row>
    <row r="16" spans="1:28" ht="95.25" customHeight="1">
      <c r="A16" s="1558"/>
      <c r="B16" s="1978"/>
      <c r="C16" s="1979"/>
      <c r="D16" s="1979"/>
      <c r="E16" s="1979"/>
      <c r="F16" s="1979"/>
      <c r="G16" s="1979"/>
      <c r="H16" s="1979"/>
      <c r="I16" s="1979"/>
      <c r="J16" s="1979"/>
      <c r="K16" s="1979"/>
      <c r="L16" s="1979"/>
      <c r="M16" s="1979"/>
      <c r="N16" s="1979"/>
      <c r="O16" s="1979"/>
      <c r="P16" s="1979"/>
      <c r="Q16" s="1979"/>
      <c r="R16" s="1979"/>
      <c r="S16" s="1979"/>
      <c r="T16" s="1979"/>
      <c r="U16" s="1979"/>
      <c r="V16" s="1979"/>
      <c r="W16" s="1979"/>
      <c r="X16" s="1979"/>
      <c r="Y16" s="1979"/>
      <c r="Z16" s="1558"/>
      <c r="AA16" s="1560"/>
      <c r="AB16" s="1558"/>
    </row>
    <row r="17" spans="1:28" ht="14.25" customHeight="1">
      <c r="A17" s="1558"/>
      <c r="B17" s="1558"/>
      <c r="C17" s="1558"/>
      <c r="D17" s="1558"/>
      <c r="E17" s="1558"/>
      <c r="F17" s="1558"/>
      <c r="G17" s="1558"/>
      <c r="H17" s="1558"/>
      <c r="I17" s="1558"/>
      <c r="J17" s="1558"/>
      <c r="K17" s="1558"/>
      <c r="L17" s="1558"/>
      <c r="M17" s="1558"/>
      <c r="N17" s="1558"/>
      <c r="O17" s="1558"/>
      <c r="P17" s="1558"/>
      <c r="Q17" s="1558"/>
      <c r="R17" s="1558"/>
      <c r="S17" s="1558"/>
      <c r="T17" s="1558"/>
      <c r="U17" s="1558"/>
      <c r="V17" s="1558"/>
      <c r="W17" s="1558"/>
      <c r="X17" s="1558"/>
      <c r="Y17" s="1559"/>
      <c r="Z17" s="1558"/>
      <c r="AA17" s="1560"/>
      <c r="AB17" s="1558"/>
    </row>
    <row r="18" spans="1:28" ht="14.25" customHeight="1">
      <c r="A18" s="1558"/>
      <c r="B18" s="1558"/>
      <c r="C18" s="1558"/>
      <c r="D18" s="1558"/>
      <c r="E18" s="1558"/>
      <c r="F18" s="1558"/>
      <c r="G18" s="1558"/>
      <c r="H18" s="1558"/>
      <c r="I18" s="1558"/>
      <c r="J18" s="1558"/>
      <c r="K18" s="1558"/>
      <c r="L18" s="1558"/>
      <c r="M18" s="1558"/>
      <c r="N18" s="1558"/>
      <c r="O18" s="1558"/>
      <c r="P18" s="1558"/>
      <c r="Q18" s="1558"/>
      <c r="R18" s="1558"/>
      <c r="S18" s="1558"/>
      <c r="T18" s="1558"/>
      <c r="U18" s="1558"/>
      <c r="V18" s="1558"/>
      <c r="W18" s="1558"/>
      <c r="X18" s="1558"/>
      <c r="Y18" s="1559"/>
      <c r="Z18" s="1558"/>
      <c r="AA18" s="1560"/>
      <c r="AB18" s="1558"/>
    </row>
    <row r="19" spans="1:28" ht="14.25" customHeight="1">
      <c r="A19" s="1558"/>
      <c r="B19" s="1558"/>
      <c r="C19" s="1558"/>
      <c r="D19" s="1558"/>
      <c r="E19" s="1558"/>
      <c r="F19" s="1558"/>
      <c r="G19" s="1558"/>
      <c r="H19" s="1558"/>
      <c r="I19" s="1558"/>
      <c r="J19" s="1558"/>
      <c r="K19" s="1558"/>
      <c r="L19" s="1558"/>
      <c r="M19" s="1558"/>
      <c r="N19" s="1558"/>
      <c r="O19" s="1558"/>
      <c r="P19" s="1558"/>
      <c r="Q19" s="1558"/>
      <c r="R19" s="1558"/>
      <c r="S19" s="1558"/>
      <c r="T19" s="1558"/>
      <c r="U19" s="1558"/>
      <c r="V19" s="1558"/>
      <c r="W19" s="1558"/>
      <c r="X19" s="1558"/>
      <c r="Y19" s="1559"/>
      <c r="Z19" s="1558"/>
      <c r="AA19" s="1560"/>
      <c r="AB19" s="1558"/>
    </row>
    <row r="20" spans="1:28" ht="14.25" customHeight="1">
      <c r="A20" s="1558"/>
      <c r="B20" s="1558"/>
      <c r="C20" s="1558"/>
      <c r="D20" s="1558"/>
      <c r="E20" s="1558"/>
      <c r="F20" s="1558"/>
      <c r="G20" s="1558"/>
      <c r="H20" s="1558"/>
      <c r="I20" s="1558"/>
      <c r="J20" s="1558"/>
      <c r="K20" s="1558"/>
      <c r="L20" s="1558"/>
      <c r="M20" s="1558"/>
      <c r="N20" s="1558"/>
      <c r="O20" s="1558"/>
      <c r="P20" s="1558"/>
      <c r="Q20" s="1558"/>
      <c r="R20" s="1558"/>
      <c r="S20" s="1558"/>
      <c r="T20" s="1558"/>
      <c r="U20" s="1558"/>
      <c r="V20" s="1558"/>
      <c r="W20" s="1558"/>
      <c r="X20" s="1558"/>
      <c r="Y20" s="1559"/>
      <c r="Z20" s="1558"/>
      <c r="AA20" s="1560"/>
      <c r="AB20" s="1558"/>
    </row>
    <row r="21" spans="1:28" ht="14.25" customHeight="1">
      <c r="A21" s="1558"/>
      <c r="B21" s="1558"/>
      <c r="C21" s="1558"/>
      <c r="D21" s="1558"/>
      <c r="E21" s="1558"/>
      <c r="F21" s="1558"/>
      <c r="G21" s="1558"/>
      <c r="H21" s="1558"/>
      <c r="I21" s="1558"/>
      <c r="J21" s="1558"/>
      <c r="K21" s="1558"/>
      <c r="L21" s="1558"/>
      <c r="M21" s="1558"/>
      <c r="N21" s="1558"/>
      <c r="O21" s="1558"/>
      <c r="P21" s="1558"/>
      <c r="Q21" s="1558"/>
      <c r="R21" s="1558"/>
      <c r="S21" s="1558"/>
      <c r="T21" s="1558"/>
      <c r="U21" s="1558"/>
      <c r="V21" s="1558"/>
      <c r="W21" s="1558"/>
      <c r="X21" s="1558"/>
      <c r="Y21" s="1559"/>
      <c r="Z21" s="1558"/>
      <c r="AA21" s="1560"/>
      <c r="AB21" s="1558"/>
    </row>
  </sheetData>
  <sheetProtection formatColumns="0" formatRows="0" insertRows="0" deleteColumns="0" deleteRows="0" sort="0" autoFilter="0"/>
  <mergeCells count="13">
    <mergeCell ref="B2:P2"/>
    <mergeCell ref="B3:P3"/>
    <mergeCell ref="B5:Y5"/>
    <mergeCell ref="B6:C10"/>
    <mergeCell ref="F8:M8"/>
    <mergeCell ref="P8:X8"/>
    <mergeCell ref="F9:M9"/>
    <mergeCell ref="P9:X9"/>
    <mergeCell ref="B11:C12"/>
    <mergeCell ref="E12:X12"/>
    <mergeCell ref="B13:C15"/>
    <mergeCell ref="E14:X14"/>
    <mergeCell ref="B16:Y16"/>
  </mergeCell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3" tint="0.59999389629810485"/>
  </sheetPr>
  <dimension ref="A1:V18"/>
  <sheetViews>
    <sheetView showGridLines="0" topLeftCell="D3" zoomScale="90" workbookViewId="0"/>
  </sheetViews>
  <sheetFormatPr defaultColWidth="10.5703125" defaultRowHeight="14.25" customHeight="1"/>
  <cols>
    <col min="1" max="1" width="9.140625" style="1721" hidden="1" customWidth="1"/>
    <col min="2" max="3" width="9.140625" style="1829" hidden="1" customWidth="1"/>
    <col min="4" max="4" width="3.7109375" style="1743" customWidth="1"/>
    <col min="5" max="5" width="6.28515625" style="1829" customWidth="1"/>
    <col min="6" max="6" width="1.7109375" style="1829" hidden="1" customWidth="1"/>
    <col min="7" max="8" width="30.7109375" style="1829" customWidth="1"/>
    <col min="9" max="9" width="9" style="1829" customWidth="1"/>
    <col min="10" max="10" width="12.140625" style="1829" customWidth="1"/>
    <col min="11" max="11" width="46.7109375" style="1829" customWidth="1"/>
    <col min="12" max="12" width="100.28515625" style="1829" customWidth="1"/>
    <col min="13" max="13" width="7.5703125" style="1648" customWidth="1"/>
    <col min="14" max="22" width="10.5703125" style="1829"/>
  </cols>
  <sheetData>
    <row r="1" spans="1:22" s="1755" customFormat="1" ht="5.25" hidden="1" customHeight="1">
      <c r="C1" s="439"/>
      <c r="D1" s="422"/>
      <c r="F1" s="439"/>
      <c r="G1" s="417" t="s">
        <v>82</v>
      </c>
      <c r="H1" s="417" t="s">
        <v>83</v>
      </c>
      <c r="I1" s="417" t="s">
        <v>84</v>
      </c>
      <c r="P1" s="417" t="s">
        <v>82</v>
      </c>
      <c r="Q1" s="417" t="s">
        <v>83</v>
      </c>
      <c r="R1" s="417" t="s">
        <v>84</v>
      </c>
    </row>
    <row r="2" spans="1:22" s="1755" customFormat="1" ht="5.25" hidden="1" customHeight="1">
      <c r="C2" s="439"/>
      <c r="D2" s="422"/>
      <c r="F2" s="439"/>
    </row>
    <row r="3" spans="1:22" s="1650" customFormat="1" ht="6" customHeight="1">
      <c r="A3" s="407"/>
      <c r="D3" s="414"/>
      <c r="E3" s="409"/>
      <c r="F3" s="409"/>
      <c r="G3" s="409"/>
      <c r="H3" s="409"/>
      <c r="I3" s="410"/>
      <c r="J3" s="411"/>
      <c r="K3" s="411"/>
      <c r="L3" s="411"/>
    </row>
    <row r="4" spans="1:22" ht="22.5" customHeight="1">
      <c r="D4" s="383"/>
      <c r="E4" s="2000" t="s">
        <v>382</v>
      </c>
      <c r="F4" s="2000"/>
      <c r="G4" s="2001"/>
      <c r="H4" s="2001"/>
      <c r="I4" s="2002"/>
      <c r="J4" s="419"/>
      <c r="K4" s="385"/>
      <c r="L4" s="385"/>
    </row>
    <row r="5" spans="1:22" s="1829" customFormat="1" ht="17.25" customHeight="1">
      <c r="A5" s="669"/>
      <c r="D5" s="727"/>
      <c r="E5" s="2112" t="str">
        <f>IF(org=0,"Не определено",org)</f>
        <v>МУП г. Астрахани "Коммунэнерго"</v>
      </c>
      <c r="F5" s="2112"/>
      <c r="G5" s="2113"/>
      <c r="H5" s="2113"/>
      <c r="I5" s="2114"/>
      <c r="J5" s="419"/>
      <c r="K5" s="385"/>
      <c r="L5" s="385"/>
      <c r="M5" s="435"/>
    </row>
    <row r="6" spans="1:22" s="1650" customFormat="1" ht="11.25" customHeight="1">
      <c r="A6" s="407"/>
      <c r="D6" s="414"/>
      <c r="E6" s="409"/>
      <c r="F6" s="409"/>
      <c r="G6" s="412"/>
      <c r="H6" s="412"/>
      <c r="I6" s="413"/>
      <c r="J6" s="413"/>
      <c r="K6" s="664"/>
      <c r="L6" s="413"/>
    </row>
    <row r="7" spans="1:22" ht="14.25" customHeight="1">
      <c r="D7" s="383"/>
      <c r="E7" s="2096" t="s">
        <v>292</v>
      </c>
      <c r="F7" s="2096"/>
      <c r="G7" s="2097"/>
      <c r="H7" s="2097"/>
      <c r="I7" s="2097"/>
      <c r="J7" s="2097"/>
      <c r="K7" s="2097"/>
      <c r="L7" s="2064" t="s">
        <v>293</v>
      </c>
    </row>
    <row r="8" spans="1:22" ht="45" customHeight="1">
      <c r="D8" s="383"/>
      <c r="E8" s="402" t="s">
        <v>87</v>
      </c>
      <c r="F8" s="728"/>
      <c r="G8" s="394" t="s">
        <v>85</v>
      </c>
      <c r="H8" s="394" t="s">
        <v>86</v>
      </c>
      <c r="I8" s="349" t="s">
        <v>84</v>
      </c>
      <c r="J8" s="349" t="s">
        <v>383</v>
      </c>
      <c r="K8" s="349" t="s">
        <v>384</v>
      </c>
      <c r="L8" s="2064"/>
    </row>
    <row r="9" spans="1:22" ht="12" hidden="1" customHeight="1">
      <c r="D9" s="415"/>
      <c r="E9" s="421"/>
      <c r="F9" s="735"/>
      <c r="G9" s="421"/>
      <c r="H9" s="421"/>
      <c r="I9" s="421"/>
      <c r="J9" s="421"/>
      <c r="K9" s="421"/>
      <c r="L9" s="421"/>
      <c r="M9" s="381"/>
    </row>
    <row r="10" spans="1:22" ht="14.25" hidden="1" customHeight="1">
      <c r="A10" s="433"/>
      <c r="B10" s="433"/>
      <c r="D10" s="434"/>
      <c r="E10" s="440">
        <v>0</v>
      </c>
      <c r="F10" s="725"/>
      <c r="G10" s="436"/>
      <c r="H10" s="436"/>
      <c r="I10" s="436"/>
      <c r="J10" s="436"/>
      <c r="K10" s="436"/>
      <c r="L10" s="2110" t="s">
        <v>385</v>
      </c>
      <c r="M10" s="435"/>
      <c r="N10" s="433"/>
      <c r="O10" s="433"/>
      <c r="P10" s="433"/>
      <c r="Q10" s="433"/>
      <c r="R10" s="433"/>
      <c r="S10" s="433"/>
      <c r="T10" s="433"/>
      <c r="U10" s="433"/>
      <c r="V10" s="433"/>
    </row>
    <row r="11" spans="1:22" ht="15" hidden="1" customHeight="1">
      <c r="A11" s="1992"/>
      <c r="B11" s="432"/>
      <c r="C11" s="432"/>
      <c r="D11" s="765"/>
      <c r="E11" s="441"/>
      <c r="F11" s="441"/>
      <c r="G11" s="441"/>
      <c r="H11" s="441"/>
      <c r="I11" s="442"/>
      <c r="J11" s="443"/>
      <c r="K11" s="626"/>
      <c r="L11" s="2123"/>
      <c r="M11" s="439"/>
      <c r="N11" s="439"/>
      <c r="O11" s="439"/>
      <c r="P11" s="444"/>
      <c r="Q11" s="444"/>
      <c r="R11" s="445"/>
      <c r="S11" s="439"/>
      <c r="T11" s="439"/>
      <c r="U11" s="439"/>
      <c r="V11" s="439"/>
    </row>
    <row r="12" spans="1:22" s="1650" customFormat="1" ht="14.25" customHeight="1">
      <c r="A12" s="1992"/>
      <c r="B12" s="432"/>
      <c r="C12" s="432"/>
      <c r="D12" s="766"/>
      <c r="E12" s="728">
        <v>1</v>
      </c>
      <c r="F12" s="764">
        <v>23</v>
      </c>
      <c r="G12" s="763"/>
      <c r="H12" s="699"/>
      <c r="I12" s="697"/>
      <c r="J12" s="448" t="s">
        <v>62</v>
      </c>
      <c r="K12" s="1038" t="s">
        <v>17</v>
      </c>
      <c r="L12" s="2123"/>
      <c r="M12" s="439"/>
      <c r="N12" s="439"/>
      <c r="O12" s="439"/>
      <c r="P12" s="444" t="s">
        <v>386</v>
      </c>
      <c r="Q12" s="444" t="s">
        <v>387</v>
      </c>
      <c r="R12" s="445" t="s">
        <v>388</v>
      </c>
      <c r="S12" s="439" t="s">
        <v>389</v>
      </c>
      <c r="T12" s="439"/>
      <c r="U12" s="439"/>
      <c r="V12" s="439"/>
    </row>
    <row r="13" spans="1:22" ht="15" customHeight="1">
      <c r="A13" s="1992"/>
      <c r="B13" s="433"/>
      <c r="D13" s="434"/>
      <c r="E13" s="340"/>
      <c r="F13" s="457"/>
      <c r="G13" s="351" t="s">
        <v>101</v>
      </c>
      <c r="H13" s="339"/>
      <c r="I13" s="339"/>
      <c r="J13" s="339"/>
      <c r="K13" s="338"/>
      <c r="L13" s="2111"/>
      <c r="M13" s="437"/>
      <c r="N13" s="433"/>
      <c r="O13" s="433"/>
      <c r="P13" s="433"/>
      <c r="Q13" s="433"/>
      <c r="R13" s="433"/>
      <c r="S13" s="433"/>
      <c r="T13" s="433"/>
      <c r="U13" s="433"/>
      <c r="V13" s="433"/>
    </row>
    <row r="14" spans="1:22" ht="11.25" customHeight="1">
      <c r="A14" s="407"/>
      <c r="B14" s="408"/>
      <c r="C14" s="408"/>
      <c r="D14" s="423"/>
      <c r="E14" s="408"/>
      <c r="F14" s="408"/>
      <c r="G14" s="408"/>
      <c r="H14" s="408"/>
      <c r="I14" s="408"/>
      <c r="J14" s="408"/>
      <c r="K14" s="408"/>
      <c r="L14" s="408"/>
      <c r="M14" s="408"/>
      <c r="N14" s="408"/>
      <c r="O14" s="408"/>
      <c r="P14" s="408"/>
      <c r="Q14" s="408"/>
      <c r="R14" s="408"/>
      <c r="S14" s="408"/>
      <c r="T14" s="408"/>
      <c r="U14" s="408"/>
      <c r="V14" s="408"/>
    </row>
    <row r="15" spans="1:22" ht="14.25" customHeight="1">
      <c r="D15" s="395"/>
      <c r="E15" s="261"/>
      <c r="F15" s="261"/>
      <c r="G15" s="579" t="str">
        <f>"&lt;1&gt; Указывается информация по муниципальным районам и муниципальным образованиям, на территории которых регулируемая организация осуществляет "&amp;IF(TEMPLATE_SPHERE&lt;&gt;"TKO","регулируемый вид деятельности в сфере "&amp;TEMPLATE_SPHERE_RUS&amp;".","деятельность в области обращения с "&amp;TEMPLATE_SPHERE_RUS_2&amp;".")</f>
        <v>&lt;1&gt; Указывается информация по муниципальным районам и муниципальным образованиям, на территории которых регулируемая организация осуществляет регулируемый вид деятельности в сфере горячего водоснабжения.</v>
      </c>
      <c r="H15" s="395"/>
      <c r="I15" s="395"/>
      <c r="J15" s="395"/>
      <c r="K15" s="395"/>
      <c r="L15" s="395"/>
    </row>
    <row r="18" spans="7:7" ht="14.25" customHeight="1">
      <c r="G18" s="433"/>
    </row>
  </sheetData>
  <sheetProtection formatColumns="0" formatRows="0" insertRows="0" deleteColumns="0" deleteRows="0" sort="0" autoFilter="0"/>
  <mergeCells count="6">
    <mergeCell ref="A11:A13"/>
    <mergeCell ref="E4:I4"/>
    <mergeCell ref="E7:K7"/>
    <mergeCell ref="L7:L8"/>
    <mergeCell ref="L10:L13"/>
    <mergeCell ref="E5:I5"/>
  </mergeCells>
  <dataValidations count="3">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Мониторинг&quot;." sqref="K12">
      <formula1>900</formula1>
    </dataValidation>
    <dataValidation allowBlank="1" showInputMessage="1" showErrorMessage="1" prompt="Изменение значения по двойному щелчоку левой кнопки мыши" sqref="J12"/>
    <dataValidation type="decimal" allowBlank="1" showErrorMessage="1" errorTitle="Ошибка" error="Допускается ввод только неотрицательных чисел!" sqref="G10:K10">
      <formula1>0</formula1>
      <formula2>9.99999999999999E+23</formula2>
    </dataValidation>
  </dataValidations>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C99"/>
  </sheetPr>
  <dimension ref="A1:H34"/>
  <sheetViews>
    <sheetView showGridLines="0" workbookViewId="0"/>
  </sheetViews>
  <sheetFormatPr defaultColWidth="43.140625" defaultRowHeight="9" customHeight="1"/>
  <cols>
    <col min="1" max="3" width="43.140625" style="1651"/>
    <col min="4" max="5" width="36.42578125" style="1651" customWidth="1"/>
    <col min="6" max="8" width="36.42578125" style="1652" customWidth="1"/>
  </cols>
  <sheetData>
    <row r="1" spans="1:8" ht="9" customHeight="1">
      <c r="A1" s="748" t="s">
        <v>390</v>
      </c>
      <c r="B1" s="748"/>
      <c r="C1" s="875" t="s">
        <v>391</v>
      </c>
      <c r="D1" s="874" t="s">
        <v>392</v>
      </c>
      <c r="E1" s="874" t="s">
        <v>393</v>
      </c>
      <c r="F1" s="874" t="s">
        <v>394</v>
      </c>
      <c r="G1" s="874" t="s">
        <v>395</v>
      </c>
      <c r="H1" s="874" t="s">
        <v>396</v>
      </c>
    </row>
    <row r="2" spans="1:8" ht="9" customHeight="1">
      <c r="A2" s="876" t="s">
        <v>397</v>
      </c>
      <c r="B2" s="876"/>
      <c r="C2" s="877" t="str">
        <f>INDEX(TEMPLATE_NUMBER_FORM_LIST,MATCH(TEMPLATE_SPHERE,TEMPLATE_SPHERE_LIST,0))</f>
        <v>10</v>
      </c>
      <c r="D2" s="876" t="s">
        <v>398</v>
      </c>
      <c r="E2" s="876" t="s">
        <v>150</v>
      </c>
      <c r="F2" s="878" t="s">
        <v>150</v>
      </c>
      <c r="G2" s="876" t="s">
        <v>150</v>
      </c>
      <c r="H2" s="879"/>
    </row>
    <row r="3" spans="1:8" ht="63" customHeight="1">
      <c r="A3" s="748"/>
      <c r="B3" s="748" t="s">
        <v>108</v>
      </c>
      <c r="C3" s="877" t="str">
        <f>IF(TEMPLATE_SPHERE="HEAT",D3,IF(TEMPLATE_SPHERE="TKO",H3,E3))</f>
        <v>Форма 10. Информация о наличии (об отсутствии) технической возможности подключения (технологического присоединения) к централизованной системе  горячего водоснабжения, а также о принятии и рассмотрении заявлений о заключении договоров о подключении (технологическом присоединении) к централизованной системе  горячего водоснабжения</v>
      </c>
      <c r="D3" s="877" t="s">
        <v>399</v>
      </c>
      <c r="E3" s="877" t="str">
        <f>"Форма 10. Информация о наличии (об отсутствии) технической возможности подключения (технологического присоединения) к централизованной системе  "&amp;TEMPLATE_SPHERE_RUS&amp;", а также о принятии и рассмотрении заявлений о заключении договоров о подключении (технологическом присоединении) к централизованной системе  "&amp;TEMPLATE_SPHERE_RUS</f>
        <v>Форма 10. Информация о наличии (об отсутствии) технической возможности подключения (технологического присоединения) к централизованной системе  горячего водоснабжения, а также о принятии и рассмотрении заявлений о заключении договоров о подключении (технологическом присоединении) к централизованной системе  горячего водоснабжения</v>
      </c>
      <c r="F3" s="878"/>
      <c r="G3" s="879"/>
      <c r="H3" s="748"/>
    </row>
    <row r="4" spans="1:8" ht="54" customHeight="1">
      <c r="A4" s="748" t="s">
        <v>400</v>
      </c>
      <c r="B4" s="748" t="s">
        <v>109</v>
      </c>
      <c r="C4" s="877" t="str">
        <f>IF(TEMPLATE_SPHERE="HEAT",D4,IF(TEMPLATE_SPHERE="TKO",H4,E4))</f>
        <v>Форма 1. Информация о регулируемой организации, осуществляющей горячее водоснабжение
(далее – регулируемая организация) (общая информация)</v>
      </c>
      <c r="D4" s="876" t="s">
        <v>401</v>
      </c>
      <c r="E4" s="877" t="str">
        <f>"Форма 1. Информация о регулируемой организации, осуществляющей "&amp;TEMPLATE_SPHERE_RUS_2&amp;"
(далее – регулируемая организация) (общая информация)"</f>
        <v>Форма 1. Информация о регулируемой организации, осуществляющей горячее водоснабжение
(далее – регулируемая организация) (общая информация)</v>
      </c>
      <c r="F4" s="876"/>
      <c r="G4" s="876"/>
      <c r="H4" s="748" t="s">
        <v>402</v>
      </c>
    </row>
    <row r="5" spans="1:8" ht="171" customHeight="1">
      <c r="A5" s="748" t="s">
        <v>403</v>
      </c>
      <c r="B5" s="748" t="s">
        <v>89</v>
      </c>
      <c r="C5" s="877" t="str">
        <f>IF(TEMPLATE_SPHERE="HEAT",D5,IF(TEMPLATE_SPHERE="TKO",H5,E5))</f>
        <v>Форма 11. Информация об условиях, на которых осуществляется поставка товаров (оказание услуг), тарифы на которые подлежат регулированию, и (или) условиях договоров о подключении (технологическом присоединении) к централизованной системе горячего водоснабжения</v>
      </c>
      <c r="D5" s="748" t="s">
        <v>404</v>
      </c>
      <c r="E5" s="751" t="str">
        <f>"Форма 11. Информация об условиях, на которых осуществляется поставка товаров (оказание услуг), тарифы на которые подлежат регулированию, и (или) условиях договоров о подключении (технологическом присоединении) к централизованной системе "&amp;TEMPLATE_SPHERE_RUS</f>
        <v>Форма 11. Информация об условиях, на которых осуществляется поставка товаров (оказание услуг), тарифы на которые подлежат регулированию, и (или) условиях договоров о подключении (технологическом присоединении) к централизованной системе горячего водоснабжения</v>
      </c>
      <c r="F5" s="879"/>
      <c r="G5" s="879"/>
      <c r="H5" s="748" t="s">
        <v>405</v>
      </c>
    </row>
    <row r="6" spans="1:8" ht="90" customHeight="1">
      <c r="A6" s="748" t="s">
        <v>406</v>
      </c>
      <c r="B6" s="748" t="s">
        <v>90</v>
      </c>
      <c r="C6" s="877" t="str">
        <f>IF(TEMPLATE_SPHERE="HEAT",D6,E6)</f>
        <v>Форма 5. Информация об основных показателях финансово-хозяйственной деятельности регулируемой организации, включая структуру основных производственных затрат (в части регулируемых видов деятельности в сфере горячего водоснабжения)</v>
      </c>
      <c r="D6" s="748" t="s">
        <v>407</v>
      </c>
      <c r="E6" s="751" t="str">
        <f>"Форма 5. Информация об основных показателях финансово-хозяйственной деятельности регулируемой организации, включая структуру основных производственных затрат (в части регулируемых видов деятельности в сфере "&amp;TEMPLATE_SPHERE_RUS&amp;")"</f>
        <v>Форма 5. Информация об основных показателях финансово-хозяйственной деятельности регулируемой организации, включая структуру основных производственных затрат (в части регулируемых видов деятельности в сфере горячего водоснабжения)</v>
      </c>
      <c r="F6" s="748"/>
      <c r="G6" s="748"/>
      <c r="H6" s="879"/>
    </row>
    <row r="7" spans="1:8" ht="45" customHeight="1">
      <c r="A7" s="748" t="s">
        <v>408</v>
      </c>
      <c r="B7" s="748" t="s">
        <v>110</v>
      </c>
      <c r="C7" s="877" t="str">
        <f>IF(TEMPLATE_SPHERE="HEAT",D7,E7)</f>
        <v>Форма 6. Информация о расходах на капитальный и текущий ремонт основных средств, расходах на услуги производственного характера, оказываемые по договорам с организациями на проведение ремонтных работ в рамках технологического процесса</v>
      </c>
      <c r="D7" s="748" t="s">
        <v>409</v>
      </c>
      <c r="E7" s="748" t="s">
        <v>410</v>
      </c>
      <c r="F7" s="879"/>
      <c r="G7" s="879"/>
      <c r="H7" s="879"/>
    </row>
    <row r="8" spans="1:8" ht="108" customHeight="1">
      <c r="A8" s="748" t="s">
        <v>411</v>
      </c>
      <c r="B8" s="748" t="s">
        <v>91</v>
      </c>
      <c r="C8" s="877" t="str">
        <f>IF(TEMPLATE_SPHERE="HEAT",D8,E8)</f>
        <v>Форма 7. Информация об основных потребительских характеристиках регулируемых товаров (услуг), тарифы на которые подлежат регулированию, и их соответствии установленным требованиям</v>
      </c>
      <c r="D8" s="748" t="s">
        <v>412</v>
      </c>
      <c r="E8" s="748" t="s">
        <v>413</v>
      </c>
      <c r="F8" s="879"/>
      <c r="G8" s="879"/>
      <c r="H8" s="879"/>
    </row>
    <row r="9" spans="1:8" ht="99" customHeight="1">
      <c r="A9" s="748" t="s">
        <v>414</v>
      </c>
      <c r="B9" s="748"/>
      <c r="C9" s="748" t="s">
        <v>415</v>
      </c>
      <c r="D9" s="748"/>
      <c r="E9" s="748"/>
      <c r="F9" s="879"/>
      <c r="G9" s="879"/>
      <c r="H9" s="879"/>
    </row>
    <row r="10" spans="1:8" ht="117" customHeight="1">
      <c r="A10" s="748" t="s">
        <v>416</v>
      </c>
      <c r="B10" s="748"/>
      <c r="C10" s="748" t="s">
        <v>417</v>
      </c>
      <c r="D10" s="748"/>
      <c r="E10" s="748"/>
      <c r="F10" s="879"/>
      <c r="G10" s="879"/>
      <c r="H10" s="879"/>
    </row>
    <row r="11" spans="1:8" ht="108" customHeight="1">
      <c r="A11" s="748" t="s">
        <v>418</v>
      </c>
      <c r="B11" s="748"/>
      <c r="C11" s="748" t="s">
        <v>419</v>
      </c>
      <c r="D11" s="748"/>
      <c r="E11" s="748"/>
      <c r="F11" s="879"/>
      <c r="G11" s="879"/>
      <c r="H11" s="879"/>
    </row>
    <row r="12" spans="1:8" ht="54" customHeight="1">
      <c r="A12" s="748" t="s">
        <v>420</v>
      </c>
      <c r="B12" s="748"/>
      <c r="C12" s="748" t="s">
        <v>421</v>
      </c>
      <c r="D12" s="748"/>
      <c r="E12" s="748"/>
      <c r="F12" s="879"/>
      <c r="G12" s="879"/>
      <c r="H12" s="879"/>
    </row>
    <row r="13" spans="1:8" ht="99" customHeight="1">
      <c r="A13" s="748" t="s">
        <v>422</v>
      </c>
      <c r="B13" s="748"/>
      <c r="C13" s="748" t="s">
        <v>423</v>
      </c>
      <c r="D13" s="748"/>
      <c r="E13" s="748"/>
      <c r="F13" s="879"/>
      <c r="G13" s="879"/>
      <c r="H13" s="879"/>
    </row>
    <row r="14" spans="1:8" ht="99" customHeight="1">
      <c r="A14" s="748" t="s">
        <v>424</v>
      </c>
      <c r="B14" s="748"/>
      <c r="C14" s="748" t="s">
        <v>425</v>
      </c>
      <c r="D14" s="748"/>
      <c r="E14" s="748"/>
      <c r="F14" s="879"/>
      <c r="G14" s="879"/>
      <c r="H14" s="879"/>
    </row>
    <row r="15" spans="1:8" ht="117" customHeight="1">
      <c r="A15" s="748" t="s">
        <v>426</v>
      </c>
      <c r="B15" s="748"/>
      <c r="C15" s="748" t="s">
        <v>427</v>
      </c>
      <c r="D15" s="748"/>
      <c r="E15" s="748"/>
      <c r="F15" s="879"/>
      <c r="G15" s="879"/>
      <c r="H15" s="879"/>
    </row>
    <row r="16" spans="1:8" ht="54" customHeight="1">
      <c r="A16" s="748" t="s">
        <v>428</v>
      </c>
      <c r="B16" s="748"/>
      <c r="C16" s="748" t="s">
        <v>429</v>
      </c>
      <c r="D16" s="748"/>
      <c r="E16" s="748"/>
      <c r="F16" s="879"/>
      <c r="G16" s="879"/>
      <c r="H16" s="879"/>
    </row>
    <row r="17" spans="1:8" ht="63" customHeight="1">
      <c r="A17" s="748" t="s">
        <v>430</v>
      </c>
      <c r="B17" s="748"/>
      <c r="C17" s="877" t="s">
        <v>431</v>
      </c>
      <c r="D17" s="748"/>
      <c r="E17" s="748"/>
      <c r="F17" s="879"/>
      <c r="G17" s="879"/>
      <c r="H17" s="879"/>
    </row>
    <row r="18" spans="1:8" ht="27" customHeight="1">
      <c r="A18" s="748" t="s">
        <v>432</v>
      </c>
      <c r="B18" s="748"/>
      <c r="C18" s="877" t="s">
        <v>433</v>
      </c>
      <c r="D18" s="748"/>
      <c r="E18" s="748"/>
      <c r="F18" s="879"/>
      <c r="G18" s="879"/>
      <c r="H18" s="879"/>
    </row>
    <row r="19" spans="1:8" ht="54" customHeight="1">
      <c r="A19" s="748" t="s">
        <v>434</v>
      </c>
      <c r="B19" s="748"/>
      <c r="C19" s="877" t="s">
        <v>435</v>
      </c>
      <c r="D19" s="748"/>
      <c r="E19" s="748"/>
      <c r="F19" s="879"/>
      <c r="G19" s="879"/>
      <c r="H19" s="879"/>
    </row>
    <row r="20" spans="1:8" ht="36" customHeight="1">
      <c r="A20" s="748" t="s">
        <v>436</v>
      </c>
      <c r="B20" s="748"/>
      <c r="C20" s="877" t="s">
        <v>437</v>
      </c>
      <c r="D20" s="748"/>
      <c r="E20" s="748"/>
      <c r="F20" s="879"/>
      <c r="G20" s="879"/>
      <c r="H20" s="879"/>
    </row>
    <row r="21" spans="1:8" ht="28.5" customHeight="1">
      <c r="A21" s="748" t="s">
        <v>438</v>
      </c>
      <c r="B21" s="748"/>
      <c r="C21" s="877" t="s">
        <v>439</v>
      </c>
      <c r="D21" s="748"/>
      <c r="E21" s="748"/>
      <c r="F21" s="879"/>
      <c r="G21" s="879"/>
      <c r="H21" s="879"/>
    </row>
    <row r="22" spans="1:8" ht="28.5" customHeight="1">
      <c r="A22" s="748" t="s">
        <v>440</v>
      </c>
      <c r="B22" s="748"/>
      <c r="C22" s="877" t="s">
        <v>441</v>
      </c>
      <c r="D22" s="748"/>
      <c r="E22" s="748"/>
      <c r="F22" s="879"/>
      <c r="G22" s="879"/>
      <c r="H22" s="879"/>
    </row>
    <row r="23" spans="1:8" ht="28.5" customHeight="1">
      <c r="A23" s="748" t="s">
        <v>442</v>
      </c>
      <c r="B23" s="748"/>
      <c r="C23" s="877" t="s">
        <v>443</v>
      </c>
      <c r="D23" s="748"/>
      <c r="E23" s="748"/>
      <c r="F23" s="879"/>
      <c r="G23" s="879"/>
      <c r="H23" s="879"/>
    </row>
    <row r="24" spans="1:8" ht="28.5" customHeight="1">
      <c r="A24" s="748" t="s">
        <v>444</v>
      </c>
      <c r="B24" s="748"/>
      <c r="C24" s="877" t="s">
        <v>445</v>
      </c>
      <c r="D24" s="748"/>
      <c r="E24" s="748"/>
      <c r="F24" s="879"/>
      <c r="G24" s="879"/>
      <c r="H24" s="879"/>
    </row>
    <row r="25" spans="1:8" ht="28.5" customHeight="1">
      <c r="A25" s="748" t="s">
        <v>446</v>
      </c>
      <c r="B25" s="748"/>
      <c r="C25" s="877" t="s">
        <v>447</v>
      </c>
      <c r="D25" s="748"/>
      <c r="E25" s="748"/>
      <c r="F25" s="879"/>
      <c r="G25" s="879"/>
      <c r="H25" s="879"/>
    </row>
    <row r="26" spans="1:8" ht="28.5" customHeight="1">
      <c r="A26" s="748" t="s">
        <v>448</v>
      </c>
      <c r="B26" s="748"/>
      <c r="C26" s="877" t="s">
        <v>449</v>
      </c>
      <c r="D26" s="748"/>
      <c r="E26" s="748"/>
      <c r="F26" s="879"/>
      <c r="G26" s="879"/>
      <c r="H26" s="879"/>
    </row>
    <row r="27" spans="1:8" ht="28.5" customHeight="1">
      <c r="A27" s="748" t="s">
        <v>450</v>
      </c>
      <c r="B27" s="748"/>
      <c r="C27" s="877" t="s">
        <v>451</v>
      </c>
      <c r="D27" s="748"/>
      <c r="E27" s="748"/>
      <c r="F27" s="879"/>
      <c r="G27" s="879"/>
      <c r="H27" s="879"/>
    </row>
    <row r="28" spans="1:8" ht="28.5" customHeight="1">
      <c r="A28" s="748" t="s">
        <v>452</v>
      </c>
      <c r="B28" s="748"/>
      <c r="C28" s="877" t="s">
        <v>453</v>
      </c>
      <c r="D28" s="748"/>
      <c r="E28" s="748"/>
      <c r="F28" s="879"/>
      <c r="G28" s="879"/>
      <c r="H28" s="879"/>
    </row>
    <row r="29" spans="1:8" ht="126" customHeight="1">
      <c r="A29" s="748" t="s">
        <v>454</v>
      </c>
      <c r="B29" s="748" t="s">
        <v>455</v>
      </c>
      <c r="C29" s="877" t="str">
        <f>IF(TEMPLATE_SPHERE="HEAT",D29,IF(TEMPLATE_SPHERE="TKO",H29,E29))</f>
        <v>Форма 13. Информация о способах приобретения, стоимости и об объемах товаров (работ, услуг), необходимых организации горячего водоснабжениядля производства товаров (оказания услуг) в сфере горячего водоснабжения, тарифы на которые подлежат регулированию, содержит сведения о правовых актах, регламентирующих правила закупки (положение о закупке) в организации горячего водоснабжения и о месте их размещения, а также сведения о планировании закупок и результатах их проведения</v>
      </c>
      <c r="D29" s="748" t="s">
        <v>456</v>
      </c>
      <c r="E29" s="751" t="str">
        <f>"Форма 13. Информация о способах приобретения, стоимости и об объемах товаров (работ, услуг), необходимых организации "&amp;TEMPLATE_SPHERE_RUS&amp;"для производства товаров (оказания услуг) в сфере "&amp;TEMPLATE_SPHERE_RUS&amp;", тарифы на которые подлежат регулированию, содержит сведения о правовых актах, регламентирующих правила закупки (положение о закупке) в организации "&amp;TEMPLATE_SPHERE_RUS&amp;" и о месте их размещения, а также сведения о планировании закупок и результатах их проведения"</f>
        <v>Форма 13. Информация о способах приобретения, стоимости и об объемах товаров (работ, услуг), необходимых организации горячего водоснабжениядля производства товаров (оказания услуг) в сфере горячего водоснабжения, тарифы на которые подлежат регулированию, содержит сведения о правовых актах, регламентирующих правила закупки (положение о закупке) в организации горячего водоснабжения и о месте их размещения, а также сведения о планировании закупок и результатах их проведения</v>
      </c>
      <c r="F29" s="879"/>
      <c r="G29" s="879"/>
      <c r="H29" s="748" t="s">
        <v>457</v>
      </c>
    </row>
    <row r="30" spans="1:8" ht="36" customHeight="1">
      <c r="A30" s="748" t="s">
        <v>458</v>
      </c>
      <c r="B30" s="748"/>
      <c r="C30" s="877" t="str">
        <f>IF(TEMPLATE_SPHERE="HEAT",D30,IF(TEMPLATE_SPHERE="TKO",H30,E30))</f>
        <v>Форма 12. Информация о порядке выполнения технологических, технических и других мероприятий, связанных с подключением (технологическим присоединением) к централизованной системе горячего водоснабжения &lt;1&gt;</v>
      </c>
      <c r="D30" s="748" t="s">
        <v>459</v>
      </c>
      <c r="E30" s="751" t="str">
        <f>"Форма 12. Информация о порядке выполнения технологических, технических и других мероприятий, связанных с подключением (технологическим присоединением) к централизованной системе "&amp;TEMPLATE_SPHERE_RUS&amp;" &lt;1&gt;"</f>
        <v>Форма 12. Информация о порядке выполнения технологических, технических и других мероприятий, связанных с подключением (технологическим присоединением) к централизованной системе горячего водоснабжения &lt;1&gt;</v>
      </c>
      <c r="F30" s="879"/>
      <c r="G30" s="879"/>
      <c r="H30" s="879"/>
    </row>
    <row r="31" spans="1:8" ht="9" customHeight="1">
      <c r="A31" s="748"/>
      <c r="B31" s="748"/>
      <c r="C31" s="877"/>
      <c r="D31" s="748"/>
      <c r="E31" s="748"/>
      <c r="F31" s="879"/>
      <c r="G31" s="879"/>
      <c r="H31" s="879"/>
    </row>
    <row r="32" spans="1:8" ht="9" customHeight="1">
      <c r="A32" s="748"/>
      <c r="B32" s="748"/>
      <c r="C32" s="877"/>
      <c r="D32" s="748"/>
      <c r="E32" s="748"/>
      <c r="F32" s="879"/>
      <c r="G32" s="879"/>
      <c r="H32" s="879"/>
    </row>
    <row r="33" spans="1:8" ht="9" customHeight="1">
      <c r="A33" s="748"/>
      <c r="B33" s="748"/>
      <c r="C33" s="877"/>
      <c r="D33" s="748"/>
      <c r="E33" s="748"/>
      <c r="F33" s="879"/>
      <c r="G33" s="879"/>
      <c r="H33" s="879"/>
    </row>
    <row r="34" spans="1:8" ht="9" customHeight="1">
      <c r="A34" s="748"/>
      <c r="B34" s="748" t="s">
        <v>460</v>
      </c>
      <c r="C34" s="877">
        <f>INDEX(TEMPLATE_NAME_FORM_LIST,B34,MATCH(TEMPLATE_SPHERE,TEMPLATE_SPHERE_LIST,0))</f>
        <v>0</v>
      </c>
      <c r="D34" s="748"/>
      <c r="E34" s="748"/>
      <c r="F34" s="879"/>
      <c r="G34" s="879"/>
      <c r="H34" s="879"/>
    </row>
  </sheetData>
  <sheetProtection insertRows="0" deleteColumns="0" deleteRows="0" sort="0" autoFilter="0"/>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rgb="FFFFCC99"/>
  </sheetPr>
  <dimension ref="A1:AH154"/>
  <sheetViews>
    <sheetView showGridLines="0" workbookViewId="0"/>
  </sheetViews>
  <sheetFormatPr defaultColWidth="9.140625" defaultRowHeight="9" customHeight="1"/>
  <cols>
    <col min="1" max="2" width="9.140625" style="1651"/>
    <col min="3" max="7" width="8" style="1654" customWidth="1"/>
    <col min="8" max="12" width="8.5703125" style="1654" customWidth="1"/>
    <col min="13" max="14" width="27.7109375" style="1654" customWidth="1"/>
    <col min="15" max="19" width="5.140625" style="1654" customWidth="1"/>
    <col min="20" max="24" width="27.7109375" style="1654" customWidth="1"/>
    <col min="25" max="25" width="1.85546875" style="1655" customWidth="1"/>
    <col min="26" max="26" width="27.7109375" style="1651" customWidth="1"/>
    <col min="27" max="27" width="27.7109375" style="1656" customWidth="1"/>
    <col min="28" max="29" width="27.7109375" style="1651" customWidth="1"/>
    <col min="30" max="30" width="3.85546875" style="1651" customWidth="1"/>
    <col min="31" max="34" width="9.140625" style="1651"/>
  </cols>
  <sheetData>
    <row r="1" spans="1:34" s="1653" customFormat="1" ht="18" customHeight="1">
      <c r="A1" s="796"/>
      <c r="B1" s="796"/>
      <c r="C1" s="796" t="s">
        <v>461</v>
      </c>
      <c r="D1" s="796"/>
      <c r="E1" s="796"/>
      <c r="F1" s="796"/>
      <c r="G1" s="796"/>
      <c r="H1" s="796" t="s">
        <v>462</v>
      </c>
      <c r="I1" s="796"/>
      <c r="J1" s="796"/>
      <c r="K1" s="796"/>
      <c r="L1" s="796"/>
      <c r="M1" s="796" t="s">
        <v>463</v>
      </c>
      <c r="N1" s="796" t="s">
        <v>464</v>
      </c>
      <c r="O1" s="2124" t="s">
        <v>465</v>
      </c>
      <c r="P1" s="2124"/>
      <c r="Q1" s="2124"/>
      <c r="R1" s="2124"/>
      <c r="S1" s="2124"/>
      <c r="T1" s="2124" t="s">
        <v>463</v>
      </c>
      <c r="U1" s="2124"/>
      <c r="V1" s="2124"/>
      <c r="W1" s="2124"/>
      <c r="X1" s="2124"/>
      <c r="Y1" s="892"/>
      <c r="Z1" s="2124" t="s">
        <v>466</v>
      </c>
      <c r="AA1" s="2124"/>
      <c r="AB1" s="2124"/>
      <c r="AC1" s="2124"/>
      <c r="AD1" s="2124"/>
    </row>
    <row r="2" spans="1:34" ht="18" customHeight="1">
      <c r="A2" s="748"/>
      <c r="B2" s="748"/>
      <c r="C2" s="744" t="s">
        <v>392</v>
      </c>
      <c r="D2" s="744" t="s">
        <v>393</v>
      </c>
      <c r="E2" s="744" t="s">
        <v>394</v>
      </c>
      <c r="F2" s="744" t="s">
        <v>395</v>
      </c>
      <c r="G2" s="744" t="s">
        <v>396</v>
      </c>
      <c r="H2" s="745"/>
      <c r="I2" s="745"/>
      <c r="J2" s="745"/>
      <c r="K2" s="745"/>
      <c r="L2" s="745"/>
      <c r="M2" s="745"/>
      <c r="N2" s="745"/>
      <c r="O2" s="744" t="s">
        <v>392</v>
      </c>
      <c r="P2" s="744" t="s">
        <v>393</v>
      </c>
      <c r="Q2" s="744" t="s">
        <v>395</v>
      </c>
      <c r="R2" s="744" t="s">
        <v>394</v>
      </c>
      <c r="S2" s="744" t="s">
        <v>396</v>
      </c>
      <c r="T2" s="744" t="s">
        <v>392</v>
      </c>
      <c r="U2" s="744" t="s">
        <v>393</v>
      </c>
      <c r="V2" s="744" t="s">
        <v>395</v>
      </c>
      <c r="W2" s="744" t="s">
        <v>394</v>
      </c>
      <c r="X2" s="744" t="s">
        <v>396</v>
      </c>
      <c r="Y2" s="744"/>
      <c r="Z2" s="744" t="s">
        <v>392</v>
      </c>
      <c r="AA2" s="752" t="s">
        <v>393</v>
      </c>
      <c r="AB2" s="744" t="s">
        <v>395</v>
      </c>
      <c r="AC2" s="744" t="s">
        <v>394</v>
      </c>
      <c r="AD2" s="744" t="s">
        <v>396</v>
      </c>
    </row>
    <row r="3" spans="1:34" ht="162" customHeight="1">
      <c r="A3" s="747" t="s">
        <v>22</v>
      </c>
      <c r="B3" s="747"/>
      <c r="C3" s="2128" t="s">
        <v>467</v>
      </c>
      <c r="D3" s="2129"/>
      <c r="E3" s="2129"/>
      <c r="F3" s="2130"/>
      <c r="G3" s="745"/>
      <c r="H3" s="745"/>
      <c r="I3" s="745"/>
      <c r="J3" s="745"/>
      <c r="K3" s="745"/>
      <c r="L3" s="745"/>
      <c r="M3" s="745"/>
      <c r="N3" s="746" t="str">
        <f>INDEX(TEMPLATE_ORG_DATA_POINT,1,MATCH(TEMPLATE_SPHERE,TEMPLATE_SPHERE_LIST_FOR_NOTE,0))</f>
        <v>В случае если регулируемыми организациями оказываются услуги по горячему водоснабжению по нескольким технологически не связанным между собой централизованным системам горячего водоснабжения, и если в отношении указанных систем устанавливаются различные тарифы в сфере горячего водоснабжения, то информация раскрывается отдельно по каждой централизованной системе горячего водоснабжения.</v>
      </c>
      <c r="O3" s="745"/>
      <c r="P3" s="745"/>
      <c r="Q3" s="745"/>
      <c r="R3" s="745"/>
      <c r="S3" s="745"/>
      <c r="T3" s="745"/>
      <c r="U3" s="745"/>
      <c r="V3" s="745"/>
      <c r="W3" s="745"/>
      <c r="X3" s="745"/>
      <c r="Y3" s="893"/>
      <c r="Z3" s="748" t="s">
        <v>468</v>
      </c>
      <c r="AA3" s="745" t="s">
        <v>469</v>
      </c>
      <c r="AB3" s="748" t="s">
        <v>470</v>
      </c>
      <c r="AC3" s="748" t="s">
        <v>471</v>
      </c>
      <c r="AD3" s="748"/>
      <c r="AG3" s="748"/>
      <c r="AH3" s="748"/>
    </row>
    <row r="4" spans="1:34" ht="9" customHeight="1">
      <c r="A4" s="747"/>
      <c r="B4" s="747"/>
      <c r="C4" s="745"/>
      <c r="D4" s="745"/>
      <c r="E4" s="745"/>
      <c r="F4" s="745"/>
      <c r="G4" s="745"/>
      <c r="H4" s="745"/>
      <c r="I4" s="745"/>
      <c r="J4" s="745"/>
      <c r="K4" s="745"/>
      <c r="L4" s="745"/>
      <c r="M4" s="745"/>
      <c r="N4" s="745"/>
      <c r="O4" s="745"/>
      <c r="P4" s="745"/>
      <c r="Q4" s="745"/>
      <c r="R4" s="745"/>
      <c r="S4" s="745"/>
      <c r="T4" s="745"/>
      <c r="U4" s="745"/>
      <c r="V4" s="745"/>
      <c r="W4" s="745"/>
      <c r="X4" s="745"/>
      <c r="Y4" s="893"/>
      <c r="Z4" s="748"/>
      <c r="AA4" s="751"/>
      <c r="AB4" s="748"/>
      <c r="AC4" s="748"/>
      <c r="AD4" s="748"/>
    </row>
    <row r="5" spans="1:34" ht="9" customHeight="1">
      <c r="A5" s="747"/>
      <c r="B5" s="747"/>
      <c r="C5" s="745"/>
      <c r="D5" s="745"/>
      <c r="E5" s="745"/>
      <c r="F5" s="745"/>
      <c r="G5" s="745"/>
      <c r="H5" s="745"/>
      <c r="I5" s="745"/>
      <c r="J5" s="745"/>
      <c r="K5" s="745"/>
      <c r="L5" s="745"/>
      <c r="M5" s="745"/>
      <c r="N5" s="745"/>
      <c r="O5" s="745"/>
      <c r="P5" s="745"/>
      <c r="Q5" s="745"/>
      <c r="R5" s="745"/>
      <c r="S5" s="745"/>
      <c r="T5" s="745"/>
      <c r="U5" s="745"/>
      <c r="V5" s="745"/>
      <c r="W5" s="745"/>
      <c r="X5" s="745"/>
      <c r="Y5" s="893"/>
      <c r="Z5" s="748"/>
      <c r="AA5" s="751"/>
      <c r="AB5" s="748"/>
      <c r="AC5" s="748"/>
      <c r="AD5" s="748"/>
    </row>
    <row r="6" spans="1:34" ht="9" customHeight="1">
      <c r="A6" s="747"/>
      <c r="B6" s="747"/>
      <c r="C6" s="745"/>
      <c r="D6" s="745"/>
      <c r="E6" s="745"/>
      <c r="F6" s="745"/>
      <c r="G6" s="745"/>
      <c r="H6" s="745"/>
      <c r="I6" s="745"/>
      <c r="J6" s="745"/>
      <c r="K6" s="745"/>
      <c r="L6" s="745"/>
      <c r="M6" s="745"/>
      <c r="N6" s="745"/>
      <c r="O6" s="745"/>
      <c r="P6" s="745"/>
      <c r="Q6" s="745"/>
      <c r="R6" s="745"/>
      <c r="S6" s="745"/>
      <c r="T6" s="745"/>
      <c r="U6" s="745"/>
      <c r="V6" s="745"/>
      <c r="W6" s="745"/>
      <c r="X6" s="745"/>
      <c r="Y6" s="893"/>
      <c r="Z6" s="748"/>
      <c r="AA6" s="751"/>
      <c r="AB6" s="748"/>
      <c r="AC6" s="748"/>
      <c r="AD6" s="748"/>
    </row>
    <row r="7" spans="1:34" ht="9" customHeight="1">
      <c r="A7" s="747"/>
      <c r="B7" s="747"/>
      <c r="C7" s="745"/>
      <c r="D7" s="745"/>
      <c r="E7" s="745"/>
      <c r="F7" s="745"/>
      <c r="G7" s="745"/>
      <c r="H7" s="745"/>
      <c r="I7" s="745"/>
      <c r="J7" s="745"/>
      <c r="K7" s="745"/>
      <c r="L7" s="745"/>
      <c r="M7" s="745"/>
      <c r="N7" s="745"/>
      <c r="O7" s="745"/>
      <c r="P7" s="745"/>
      <c r="Q7" s="745"/>
      <c r="R7" s="745"/>
      <c r="S7" s="745"/>
      <c r="T7" s="745"/>
      <c r="U7" s="745"/>
      <c r="V7" s="745"/>
      <c r="W7" s="745"/>
      <c r="X7" s="745"/>
      <c r="Y7" s="893"/>
      <c r="Z7" s="748"/>
      <c r="AA7" s="751"/>
      <c r="AB7" s="748"/>
      <c r="AC7" s="748"/>
      <c r="AD7" s="748"/>
    </row>
    <row r="8" spans="1:34" ht="9" customHeight="1">
      <c r="A8" s="747"/>
      <c r="B8" s="747"/>
      <c r="C8" s="745"/>
      <c r="D8" s="745"/>
      <c r="E8" s="745"/>
      <c r="F8" s="745"/>
      <c r="G8" s="745"/>
      <c r="H8" s="745"/>
      <c r="I8" s="745"/>
      <c r="J8" s="745"/>
      <c r="K8" s="745"/>
      <c r="L8" s="745"/>
      <c r="M8" s="745"/>
      <c r="N8" s="745"/>
      <c r="O8" s="745"/>
      <c r="P8" s="745"/>
      <c r="Q8" s="745"/>
      <c r="R8" s="745"/>
      <c r="S8" s="745"/>
      <c r="T8" s="745"/>
      <c r="U8" s="745"/>
      <c r="V8" s="745"/>
      <c r="W8" s="745"/>
      <c r="X8" s="745"/>
      <c r="Y8" s="893"/>
      <c r="Z8" s="748"/>
      <c r="AA8" s="751"/>
      <c r="AB8" s="748"/>
      <c r="AC8" s="748"/>
      <c r="AD8" s="748"/>
    </row>
    <row r="9" spans="1:34" ht="9" customHeight="1">
      <c r="A9" s="747"/>
      <c r="B9" s="747"/>
      <c r="C9" s="745"/>
      <c r="D9" s="745"/>
      <c r="E9" s="745"/>
      <c r="F9" s="745"/>
      <c r="G9" s="745"/>
      <c r="H9" s="745"/>
      <c r="I9" s="745"/>
      <c r="J9" s="745"/>
      <c r="K9" s="745"/>
      <c r="L9" s="745"/>
      <c r="M9" s="745"/>
      <c r="N9" s="745"/>
      <c r="O9" s="745"/>
      <c r="P9" s="745"/>
      <c r="Q9" s="745"/>
      <c r="R9" s="745"/>
      <c r="S9" s="745"/>
      <c r="T9" s="745"/>
      <c r="U9" s="745"/>
      <c r="V9" s="745"/>
      <c r="W9" s="745"/>
      <c r="X9" s="745"/>
      <c r="Y9" s="893"/>
      <c r="Z9" s="748"/>
      <c r="AA9" s="751"/>
      <c r="AB9" s="748"/>
      <c r="AC9" s="748"/>
      <c r="AD9" s="748"/>
    </row>
    <row r="10" spans="1:34" ht="9" customHeight="1">
      <c r="A10" s="797"/>
      <c r="B10" s="797"/>
      <c r="C10" s="797"/>
      <c r="D10" s="797"/>
      <c r="E10" s="797"/>
      <c r="F10" s="797"/>
      <c r="G10" s="797"/>
      <c r="H10" s="797"/>
      <c r="I10" s="797"/>
      <c r="J10" s="797"/>
      <c r="K10" s="797"/>
      <c r="L10" s="797"/>
      <c r="M10" s="797"/>
      <c r="N10" s="797"/>
      <c r="O10" s="797"/>
      <c r="P10" s="797"/>
      <c r="Q10" s="797"/>
      <c r="R10" s="797"/>
      <c r="S10" s="797"/>
      <c r="T10" s="797"/>
      <c r="U10" s="797"/>
      <c r="V10" s="797"/>
      <c r="W10" s="797"/>
      <c r="X10" s="797"/>
      <c r="Y10" s="797"/>
      <c r="Z10" s="797"/>
      <c r="AA10" s="797"/>
      <c r="AB10" s="797"/>
      <c r="AC10" s="797"/>
      <c r="AD10" s="797"/>
    </row>
    <row r="11" spans="1:34" ht="45" customHeight="1">
      <c r="A11" s="2125" t="s">
        <v>28</v>
      </c>
      <c r="B11" s="797">
        <v>1</v>
      </c>
      <c r="C11" s="2131" t="s">
        <v>472</v>
      </c>
      <c r="D11" s="2131" t="s">
        <v>473</v>
      </c>
      <c r="E11" s="2131" t="s">
        <v>474</v>
      </c>
      <c r="F11" s="2131" t="s">
        <v>475</v>
      </c>
      <c r="G11" s="2131"/>
      <c r="H11" s="796" t="s">
        <v>476</v>
      </c>
      <c r="I11" s="796"/>
      <c r="J11" s="796"/>
      <c r="K11" s="796"/>
      <c r="L11" s="796"/>
      <c r="M11" s="746" t="str">
        <f>IF(TEMPLATE_SPHERE="HEAT",T11,U11)</f>
        <v xml:space="preserve">Количество поданных заявлений </v>
      </c>
      <c r="N11" s="746" t="str">
        <f t="shared" ref="N11:N16" si="0">IF(TEMPLATE_SPHERE="HEAT",Z11,AA11)</f>
        <v>Указывается количество поданных заявлений о заключении договоров о подключении (технологическом присоединении) к централизованной системе горячего водоснабжения в течение одного квартала.</v>
      </c>
      <c r="O11" s="745"/>
      <c r="P11" s="745"/>
      <c r="Q11" s="745"/>
      <c r="R11" s="745"/>
      <c r="S11" s="745"/>
      <c r="T11" s="745" t="s">
        <v>477</v>
      </c>
      <c r="U11" s="745" t="s">
        <v>478</v>
      </c>
      <c r="V11" s="745"/>
      <c r="W11" s="745"/>
      <c r="X11" s="745"/>
      <c r="Y11" s="893"/>
      <c r="Z11" s="748" t="s">
        <v>479</v>
      </c>
      <c r="AA11" s="751" t="str">
        <f>"Указывается количество поданных заявлений о заключении договоров о подключении (технологическом присоединении) к централизованной системе "&amp;TEMPLATE_SPHERE_RUS&amp;" в течение одного квартала."</f>
        <v>Указывается количество поданных заявлений о заключении договоров о подключении (технологическом присоединении) к централизованной системе горячего водоснабжения в течение одного квартала.</v>
      </c>
      <c r="AB11" s="748"/>
      <c r="AC11" s="748"/>
      <c r="AD11" s="748"/>
    </row>
    <row r="12" spans="1:34" ht="45" customHeight="1">
      <c r="A12" s="2125"/>
      <c r="B12" s="797">
        <v>2</v>
      </c>
      <c r="C12" s="2132"/>
      <c r="D12" s="2132"/>
      <c r="E12" s="2132"/>
      <c r="F12" s="2132"/>
      <c r="G12" s="2132"/>
      <c r="H12" s="796" t="s">
        <v>480</v>
      </c>
      <c r="I12" s="796"/>
      <c r="J12" s="796"/>
      <c r="K12" s="796"/>
      <c r="L12" s="796"/>
      <c r="M12" s="746" t="str">
        <f>IF(TEMPLATE_SPHERE="HEAT",T12,U12)</f>
        <v xml:space="preserve">Количество исполненных заявлений </v>
      </c>
      <c r="N12" s="746" t="str">
        <f t="shared" si="0"/>
        <v>Указывается количество исполненных заявлений о заключении договоров о подключении (технологическом присоединении) к централизованной системе горячего водоснабжения в течение одного квартала.</v>
      </c>
      <c r="O12" s="745"/>
      <c r="P12" s="745"/>
      <c r="Q12" s="745"/>
      <c r="R12" s="745"/>
      <c r="S12" s="745"/>
      <c r="T12" s="745" t="s">
        <v>481</v>
      </c>
      <c r="U12" s="745" t="s">
        <v>482</v>
      </c>
      <c r="V12" s="745"/>
      <c r="W12" s="745"/>
      <c r="X12" s="745"/>
      <c r="Y12" s="893"/>
      <c r="Z12" s="748" t="s">
        <v>483</v>
      </c>
      <c r="AA12" s="751" t="str">
        <f>"Указывается количество исполненных заявлений о заключении договоров о подключении (технологическом присоединении) к централизованной системе "&amp;TEMPLATE_SPHERE_RUS&amp;" в течение одного квартала."</f>
        <v>Указывается количество исполненных заявлений о заключении договоров о подключении (технологическом присоединении) к централизованной системе горячего водоснабжения в течение одного квартала.</v>
      </c>
      <c r="AB12" s="748"/>
      <c r="AC12" s="748"/>
      <c r="AD12" s="748"/>
    </row>
    <row r="13" spans="1:34" ht="72" customHeight="1">
      <c r="A13" s="2125"/>
      <c r="B13" s="797">
        <v>3</v>
      </c>
      <c r="C13" s="2132"/>
      <c r="D13" s="2132"/>
      <c r="E13" s="2132"/>
      <c r="F13" s="2132"/>
      <c r="G13" s="2132"/>
      <c r="H13" s="2124" t="s">
        <v>484</v>
      </c>
      <c r="I13" s="796"/>
      <c r="J13" s="796"/>
      <c r="K13" s="796"/>
      <c r="L13" s="796"/>
      <c r="M13" s="746" t="str">
        <f>IF(TEMPLATE_SPHERE="HEAT",T13,U13)</f>
        <v>Количество заявлений о заключении договоров о подключении (технологическом присоединении)</v>
      </c>
      <c r="N13" s="746" t="str">
        <f t="shared" si="0"/>
        <v>Указывается количество заявлений о заключении договоров о подключении (технологическом присоединении) к централизованной системе горячего водоснабжения, по которым организацией горячего водоснабжения отказано в заключении договора о подключении (технологическом присоединении) к централизованной системе горячего водоснабжения с указанием причин, в течение одного квартала.</v>
      </c>
      <c r="O13" s="745"/>
      <c r="P13" s="746"/>
      <c r="Q13" s="746"/>
      <c r="R13" s="746"/>
      <c r="S13" s="745"/>
      <c r="T13" s="745" t="s">
        <v>485</v>
      </c>
      <c r="U13" s="746" t="s">
        <v>486</v>
      </c>
      <c r="V13" s="746"/>
      <c r="W13" s="746"/>
      <c r="X13" s="745"/>
      <c r="Y13" s="893"/>
      <c r="Z13" s="748" t="s">
        <v>487</v>
      </c>
      <c r="AA13" s="751" t="str">
        <f>"Указывается количество заявлений о заключении договоров о подключении (технологическом присоединении) к централизованной системе "&amp;TEMPLATE_SPHERE_RUS&amp;", по которым организацией "&amp;TEMPLATE_SPHERE_RUS&amp;" отказано в заключении договора о подключении (технологическом присоединении) к централизованной системе "&amp;TEMPLATE_SPHERE_RUS&amp;" с указанием причин, в течение одного квартала."</f>
        <v>Указывается количество заявлений о заключении договоров о подключении (технологическом присоединении) к централизованной системе горячего водоснабжения, по которым организацией горячего водоснабжения отказано в заключении договора о подключении (технологическом присоединении) к централизованной системе горячего водоснабжения с указанием причин, в течение одного квартала.</v>
      </c>
      <c r="AB13" s="748"/>
      <c r="AC13" s="748"/>
      <c r="AD13" s="748"/>
    </row>
    <row r="14" spans="1:34" ht="45" customHeight="1">
      <c r="A14" s="2125"/>
      <c r="B14" s="797">
        <v>4</v>
      </c>
      <c r="C14" s="2132"/>
      <c r="D14" s="2132"/>
      <c r="E14" s="2132"/>
      <c r="F14" s="2132"/>
      <c r="G14" s="2132"/>
      <c r="H14" s="2124"/>
      <c r="I14" s="799"/>
      <c r="J14" s="799"/>
      <c r="K14" s="799"/>
      <c r="L14" s="799"/>
      <c r="M14" s="749" t="str">
        <f>IF(TEMPLATE_SPHERE="HEAT",T14,U14)</f>
        <v>Причины отказа в заключении договора о подключении (технологическом присоединении) к централизованной системе горячего водоснабжения</v>
      </c>
      <c r="N14" s="746" t="str">
        <f t="shared" si="0"/>
        <v>Указывается текстовое описание причин принятия решений._x000D_
Не заполняется в случае, если решения об отказе в течение отчетного периода не принимались.</v>
      </c>
      <c r="O14" s="745"/>
      <c r="P14" s="746"/>
      <c r="Q14" s="746"/>
      <c r="R14" s="746"/>
      <c r="S14" s="745"/>
      <c r="T14" s="745" t="s">
        <v>488</v>
      </c>
      <c r="U14" s="746" t="str">
        <f>"Причины отказа в заключении договора о подключении (технологическом присоединении) к централизованной системе "&amp;TEMPLATE_SPHERE_RUS</f>
        <v>Причины отказа в заключении договора о подключении (технологическом присоединении) к централизованной системе горячего водоснабжения</v>
      </c>
      <c r="V14" s="746"/>
      <c r="W14" s="746"/>
      <c r="X14" s="745"/>
      <c r="Y14" s="893"/>
      <c r="Z14" s="748" t="s">
        <v>489</v>
      </c>
      <c r="AA14" s="751" t="s">
        <v>489</v>
      </c>
      <c r="AB14" s="748"/>
      <c r="AC14" s="748"/>
      <c r="AD14" s="748"/>
    </row>
    <row r="15" spans="1:34" ht="108" customHeight="1">
      <c r="A15" s="2125"/>
      <c r="B15" s="797">
        <v>5</v>
      </c>
      <c r="C15" s="2132"/>
      <c r="D15" s="2132"/>
      <c r="E15" s="2132"/>
      <c r="F15" s="2132"/>
      <c r="G15" s="2132"/>
      <c r="H15" s="2126" t="s">
        <v>490</v>
      </c>
      <c r="I15" s="798"/>
      <c r="J15" s="798"/>
      <c r="K15" s="798"/>
      <c r="L15" s="798"/>
      <c r="M15" s="751" t="str">
        <f>IF(TEMPLATE_SPHERE="HEAT",T15,U15)</f>
        <v>Наличие свободной мощности (резерва мощности) на соответствующих объектах централизованных систем горячего водоснабжения в течение одного квартала, в том числе:</v>
      </c>
      <c r="N15" s="750" t="str">
        <f t="shared" si="0"/>
        <v>Указывается наличие свободной мощности (резерв мощности) на соответствующих объектах централизованной системы горячего водоснабжения (совокупности централизованных систем горячего водоснабжения) в случае, если для них установлены одинаковые тарифы в сфере горячего водоснабжения.
В случае если регулируемыми организациями оказываются услуги горячего водоснабжения по нескольким технологически не связанным между собой централизованным системам горячего водоснабжения, и если в отношении указанных систем устанавливаются различные тарифы в сфере горячего водоснабжения, то информация раскрывается отдельно по каждой централизованной системе горячего водоснабжения.</v>
      </c>
      <c r="O15" s="745"/>
      <c r="P15" s="746"/>
      <c r="Q15" s="746"/>
      <c r="R15" s="746"/>
      <c r="S15" s="745"/>
      <c r="T15" s="745" t="s">
        <v>491</v>
      </c>
      <c r="U15" s="746" t="str">
        <f>"Наличие свободной мощности (резерва мощности) на соответствующих объектах централизованных систем "&amp;TEMPLATE_SPHERE_RUS&amp;" в течение одного квартала, в том числе:"</f>
        <v>Наличие свободной мощности (резерва мощности) на соответствующих объектах централизованных систем горячего водоснабжения в течение одного квартала, в том числе:</v>
      </c>
      <c r="V15" s="746"/>
      <c r="W15" s="746"/>
      <c r="X15" s="745"/>
      <c r="Y15" s="893"/>
      <c r="Z15" s="748" t="s">
        <v>492</v>
      </c>
      <c r="AA15" s="751" t="str">
        <f>"Указывается наличие свободной мощности (резерв мощности) на соответствующих объектах централизованной системы "&amp;TEMPLATE_SPHERE_RUS&amp;" (совокупности централизованных систем "&amp;TEMPLATE_SPHERE_RUS&amp;") в случае, если для них установлены одинаковые тарифы в сфере "&amp;TEMPLATE_SPHERE_RUS&amp;".
В случае если регулируемыми организациями оказываются услуги "&amp;TEMPLATE_SPHERE_RUS&amp;" по нескольким технологически не связанным между собой централизованным системам "&amp;TEMPLATE_SPHERE_RUS&amp;", и если в отношении указанных систем устанавливаются различные тарифы в сфере "&amp;TEMPLATE_SPHERE_RUS&amp;", то информация раскрывается отдельно по каждой централизованной системе "&amp;TEMPLATE_SPHERE_RUS&amp;"."</f>
        <v>Указывается наличие свободной мощности (резерв мощности) на соответствующих объектах централизованной системы горячего водоснабжения (совокупности централизованных систем горячего водоснабжения) в случае, если для них установлены одинаковые тарифы в сфере горячего водоснабжения.
В случае если регулируемыми организациями оказываются услуги горячего водоснабжения по нескольким технологически не связанным между собой централизованным системам горячего водоснабжения, и если в отношении указанных систем устанавливаются различные тарифы в сфере горячего водоснабжения, то информация раскрывается отдельно по каждой централизованной системе горячего водоснабжения.</v>
      </c>
      <c r="AB15" s="748"/>
      <c r="AC15" s="748"/>
      <c r="AD15" s="748"/>
    </row>
    <row r="16" spans="1:34" ht="108" customHeight="1">
      <c r="A16" s="797"/>
      <c r="B16" s="797">
        <v>6</v>
      </c>
      <c r="C16" s="2133"/>
      <c r="D16" s="2133"/>
      <c r="E16" s="2133"/>
      <c r="F16" s="2133"/>
      <c r="G16" s="2133"/>
      <c r="H16" s="2127"/>
      <c r="I16" s="856"/>
      <c r="J16" s="856"/>
      <c r="K16" s="856"/>
      <c r="L16" s="856"/>
      <c r="M16" s="789"/>
      <c r="N16" s="750" t="str">
        <f t="shared" si="0"/>
        <v>Указывается наличие свободной мощности (резерв мощности) для централизованной системы горячего водоснабжения, тариф для которой не является отличным от тарифов других централизованных систем горячего водоснабжения регулируемой организации.
При использовании регулируемой организацией нескольких централизованных систем горячего водоснабжения информация о наличии свободной мощности (резерве мощности) на соответствующих объектах централизованных систем горячего водоснабжения публикуется в отношении каждой централизованной системы горячего водоснабжения в отдельных строках.</v>
      </c>
      <c r="O16" s="745"/>
      <c r="P16" s="746"/>
      <c r="Q16" s="746"/>
      <c r="R16" s="746"/>
      <c r="S16" s="745"/>
      <c r="T16" s="745"/>
      <c r="U16" s="746"/>
      <c r="V16" s="746"/>
      <c r="W16" s="746"/>
      <c r="X16" s="745"/>
      <c r="Y16" s="893"/>
      <c r="Z16" s="748" t="s">
        <v>492</v>
      </c>
      <c r="AA16" s="751" t="str">
        <f>"Указывается наличие свободной мощности (резерв мощности) для централизованной системы "&amp;TEMPLATE_SPHERE_RUS&amp;", тариф для которой не является отличным от тарифов других централизованных систем "&amp;TEMPLATE_SPHERE_RUS&amp;" регулируемой организации.
При использовании регулируемой организацией нескольких централизованных систем "&amp;TEMPLATE_SPHERE_RUS&amp;" информация о наличии свободной мощности (резерве мощности) на соответствующих объектах централизованных систем "&amp;TEMPLATE_SPHERE_RUS&amp;" публикуется в отношении каждой централизованной системы "&amp;TEMPLATE_SPHERE_RUS&amp;" в отдельных строках."</f>
        <v>Указывается наличие свободной мощности (резерв мощности) для централизованной системы горячего водоснабжения, тариф для которой не является отличным от тарифов других централизованных систем горячего водоснабжения регулируемой организации.
При использовании регулируемой организацией нескольких централизованных систем горячего водоснабжения информация о наличии свободной мощности (резерве мощности) на соответствующих объектах централизованных систем горячего водоснабжения публикуется в отношении каждой централизованной системы горячего водоснабжения в отдельных строках.</v>
      </c>
      <c r="AB16" s="748"/>
      <c r="AC16" s="748"/>
      <c r="AD16" s="748"/>
    </row>
    <row r="17" spans="1:30" ht="9" customHeight="1">
      <c r="A17" s="797"/>
      <c r="B17" s="797"/>
      <c r="C17" s="797">
        <v>22</v>
      </c>
      <c r="D17" s="797">
        <v>21</v>
      </c>
      <c r="E17" s="797">
        <v>42</v>
      </c>
      <c r="F17" s="797">
        <v>63</v>
      </c>
      <c r="G17" s="797"/>
      <c r="H17" s="797"/>
      <c r="I17" s="797"/>
      <c r="J17" s="797"/>
      <c r="K17" s="797"/>
      <c r="L17" s="797"/>
      <c r="M17" s="797"/>
      <c r="N17" s="797"/>
      <c r="O17" s="797"/>
      <c r="P17" s="797"/>
      <c r="Q17" s="797"/>
      <c r="R17" s="797"/>
      <c r="S17" s="797"/>
      <c r="T17" s="797"/>
      <c r="U17" s="797"/>
      <c r="V17" s="797"/>
      <c r="W17" s="797"/>
      <c r="X17" s="797"/>
      <c r="Y17" s="797"/>
      <c r="Z17" s="797"/>
      <c r="AA17" s="797"/>
      <c r="AB17" s="797"/>
      <c r="AC17" s="797"/>
      <c r="AD17" s="797"/>
    </row>
    <row r="18" spans="1:30" ht="27" customHeight="1">
      <c r="A18" s="747" t="s">
        <v>493</v>
      </c>
      <c r="B18" s="797">
        <v>1</v>
      </c>
      <c r="C18" s="745" t="s">
        <v>476</v>
      </c>
      <c r="D18" s="861" t="s">
        <v>476</v>
      </c>
      <c r="E18" s="745" t="s">
        <v>476</v>
      </c>
      <c r="F18" s="745" t="s">
        <v>476</v>
      </c>
      <c r="G18" s="745"/>
      <c r="H18" s="894"/>
      <c r="I18" s="897">
        <f t="shared" ref="I18:I49" si="1">INDEX(TEMPLATE_NUMBER_POINT_FHD,B18,MATCH(TEMPLATE_SPHERE,TEMPLATE_SPHERE_LIST_FOR_NOTE,0))</f>
        <v>1</v>
      </c>
      <c r="J18" s="897" t="str">
        <f t="shared" ref="J18:J49" si="2">INDEX(TEMPLATE_DATA_POINT_FHD,B18,MATCH(TEMPLATE_SPHERE,TEMPLATE_SPHERE_LIST_FOR_NOTE,0))</f>
        <v>Выручка от регулируемых видов деятельности в сфере горячего водоснабжения</v>
      </c>
      <c r="K18" s="897" t="str">
        <f t="shared" ref="K18:K49" si="3">INDEX(TEMPLATE_NOTE_POINT_FHD,B18,MATCH(TEMPLATE_SPHERE,TEMPLATE_SPHERE_LIST_FOR_NOTE,0))</f>
        <v>Указывается выручка с распределением по видам деятельности.</v>
      </c>
      <c r="L18" s="746">
        <f t="shared" ref="L18:L49" si="4">IF(I18=0,"",I18)</f>
        <v>1</v>
      </c>
      <c r="M18" s="746" t="str">
        <f t="shared" ref="M18:M49" si="5">IF(J18=0,"",J18)</f>
        <v>Выручка от регулируемых видов деятельности в сфере горячего водоснабжения</v>
      </c>
      <c r="N18" s="746" t="str">
        <f t="shared" ref="N18:N49" si="6">IF(K18=0,"",K18)</f>
        <v>Указывается выручка с распределением по видам деятельности.</v>
      </c>
      <c r="O18" s="851">
        <v>1</v>
      </c>
      <c r="P18" s="851">
        <v>1</v>
      </c>
      <c r="Q18" s="851">
        <v>1</v>
      </c>
      <c r="R18" s="851">
        <v>1</v>
      </c>
      <c r="S18" s="851"/>
      <c r="T18" s="858" t="s">
        <v>494</v>
      </c>
      <c r="U18" s="748" t="s">
        <v>495</v>
      </c>
      <c r="V18" s="748" t="s">
        <v>496</v>
      </c>
      <c r="W18" s="748" t="s">
        <v>497</v>
      </c>
      <c r="X18" s="745"/>
      <c r="Y18" s="893"/>
      <c r="Z18" s="748" t="s">
        <v>498</v>
      </c>
      <c r="AA18" s="751" t="s">
        <v>499</v>
      </c>
      <c r="AB18" s="751" t="s">
        <v>499</v>
      </c>
      <c r="AC18" s="751" t="s">
        <v>499</v>
      </c>
      <c r="AD18" s="748"/>
    </row>
    <row r="19" spans="1:30" ht="36" customHeight="1">
      <c r="A19" s="747"/>
      <c r="B19" s="797">
        <v>2</v>
      </c>
      <c r="C19" s="745" t="s">
        <v>480</v>
      </c>
      <c r="D19" s="861" t="s">
        <v>480</v>
      </c>
      <c r="E19" s="745" t="s">
        <v>480</v>
      </c>
      <c r="F19" s="745" t="s">
        <v>480</v>
      </c>
      <c r="G19" s="745"/>
      <c r="H19" s="894"/>
      <c r="I19" s="897">
        <f t="shared" si="1"/>
        <v>2</v>
      </c>
      <c r="J19" s="897" t="str">
        <f t="shared" si="2"/>
        <v>Себестоимость производимых товаров (оказываемых услуг) по регулируемым видам деятельности в сфере горячего водоснабжения, включая:</v>
      </c>
      <c r="K19" s="897" t="str">
        <f t="shared" si="3"/>
        <v>Указывается суммарная себестоимость производимых товаров.</v>
      </c>
      <c r="L19" s="746">
        <f t="shared" si="4"/>
        <v>2</v>
      </c>
      <c r="M19" s="746" t="str">
        <f t="shared" si="5"/>
        <v>Себестоимость производимых товаров (оказываемых услуг) по регулируемым видам деятельности в сфере горячего водоснабжения, включая:</v>
      </c>
      <c r="N19" s="746" t="str">
        <f t="shared" si="6"/>
        <v>Указывается суммарная себестоимость производимых товаров.</v>
      </c>
      <c r="O19" s="851">
        <v>2</v>
      </c>
      <c r="P19" s="851">
        <v>2</v>
      </c>
      <c r="Q19" s="851">
        <v>2</v>
      </c>
      <c r="R19" s="851">
        <v>2</v>
      </c>
      <c r="S19" s="851"/>
      <c r="T19" s="858" t="s">
        <v>500</v>
      </c>
      <c r="U19" s="748" t="s">
        <v>501</v>
      </c>
      <c r="V19" s="748" t="s">
        <v>502</v>
      </c>
      <c r="W19" s="748" t="s">
        <v>503</v>
      </c>
      <c r="X19" s="745"/>
      <c r="Y19" s="893"/>
      <c r="Z19" s="748" t="s">
        <v>504</v>
      </c>
      <c r="AA19" s="751" t="s">
        <v>504</v>
      </c>
      <c r="AB19" s="751" t="s">
        <v>504</v>
      </c>
      <c r="AC19" s="751" t="s">
        <v>504</v>
      </c>
      <c r="AD19" s="748"/>
    </row>
    <row r="20" spans="1:30" ht="27" customHeight="1">
      <c r="A20" s="747"/>
      <c r="B20" s="797">
        <v>3</v>
      </c>
      <c r="C20" s="745">
        <v>1</v>
      </c>
      <c r="D20" s="861"/>
      <c r="E20" s="745"/>
      <c r="F20" s="745"/>
      <c r="G20" s="745"/>
      <c r="H20" s="894"/>
      <c r="I20" s="897" t="str">
        <f t="shared" si="1"/>
        <v>2.1</v>
      </c>
      <c r="J20" s="897" t="str">
        <f t="shared" si="2"/>
        <v>Расходы на приобретаемую тепловую энергию (мощность), используемую для горячего водоснабжения</v>
      </c>
      <c r="K20" s="897">
        <f t="shared" si="3"/>
        <v>0</v>
      </c>
      <c r="L20" s="746" t="str">
        <f t="shared" si="4"/>
        <v>2.1</v>
      </c>
      <c r="M20" s="746" t="str">
        <f t="shared" si="5"/>
        <v>Расходы на приобретаемую тепловую энергию (мощность), используемую для горячего водоснабжения</v>
      </c>
      <c r="N20" s="746" t="str">
        <f t="shared" si="6"/>
        <v/>
      </c>
      <c r="O20" s="851" t="s">
        <v>505</v>
      </c>
      <c r="P20" s="851" t="s">
        <v>505</v>
      </c>
      <c r="Q20" s="851" t="s">
        <v>505</v>
      </c>
      <c r="R20" s="851" t="s">
        <v>505</v>
      </c>
      <c r="S20" s="851"/>
      <c r="T20" s="858" t="s">
        <v>506</v>
      </c>
      <c r="U20" s="748" t="s">
        <v>507</v>
      </c>
      <c r="V20" s="748" t="s">
        <v>508</v>
      </c>
      <c r="W20" s="748" t="s">
        <v>509</v>
      </c>
      <c r="X20" s="745"/>
      <c r="Y20" s="893"/>
      <c r="Z20" s="748"/>
      <c r="AA20" s="751"/>
      <c r="AB20" s="748"/>
      <c r="AC20" s="748"/>
      <c r="AD20" s="748"/>
    </row>
    <row r="21" spans="1:30" ht="36" customHeight="1">
      <c r="A21" s="747"/>
      <c r="B21" s="797">
        <v>4</v>
      </c>
      <c r="C21" s="745">
        <v>2</v>
      </c>
      <c r="D21" s="861"/>
      <c r="E21" s="745"/>
      <c r="F21" s="745"/>
      <c r="G21" s="745"/>
      <c r="H21" s="894"/>
      <c r="I21" s="897">
        <f t="shared" si="1"/>
        <v>0</v>
      </c>
      <c r="J21" s="897">
        <f t="shared" si="2"/>
        <v>0</v>
      </c>
      <c r="K21" s="897">
        <f t="shared" si="3"/>
        <v>0</v>
      </c>
      <c r="L21" s="746" t="str">
        <f t="shared" si="4"/>
        <v/>
      </c>
      <c r="M21" s="746" t="str">
        <f t="shared" si="5"/>
        <v/>
      </c>
      <c r="N21" s="746" t="str">
        <f t="shared" si="6"/>
        <v/>
      </c>
      <c r="O21" s="851" t="s">
        <v>299</v>
      </c>
      <c r="P21" s="851"/>
      <c r="Q21" s="851"/>
      <c r="R21" s="851"/>
      <c r="S21" s="851"/>
      <c r="T21" s="858" t="s">
        <v>510</v>
      </c>
      <c r="U21" s="748"/>
      <c r="V21" s="748"/>
      <c r="W21" s="748"/>
      <c r="X21" s="745"/>
      <c r="Y21" s="893"/>
      <c r="Z21" s="748" t="s">
        <v>511</v>
      </c>
      <c r="AA21" s="751"/>
      <c r="AB21" s="748"/>
      <c r="AC21" s="748"/>
      <c r="AD21" s="748"/>
    </row>
    <row r="22" spans="1:30" ht="36" customHeight="1">
      <c r="A22" s="747"/>
      <c r="B22" s="797">
        <v>5</v>
      </c>
      <c r="C22" s="745">
        <v>3</v>
      </c>
      <c r="D22" s="861"/>
      <c r="E22" s="745"/>
      <c r="F22" s="745"/>
      <c r="G22" s="788"/>
      <c r="H22" s="852"/>
      <c r="I22" s="897" t="str">
        <f t="shared" si="1"/>
        <v>2.2</v>
      </c>
      <c r="J22" s="897" t="str">
        <f t="shared" si="2"/>
        <v>Расходы на тепловую энергию, производимую с применением собственных источников и используемую для горячего водоснабжения</v>
      </c>
      <c r="K22" s="897">
        <f t="shared" si="3"/>
        <v>0</v>
      </c>
      <c r="L22" s="746" t="str">
        <f t="shared" si="4"/>
        <v>2.2</v>
      </c>
      <c r="M22" s="746" t="str">
        <f t="shared" si="5"/>
        <v>Расходы на тепловую энергию, производимую с применением собственных источников и используемую для горячего водоснабжения</v>
      </c>
      <c r="N22" s="746" t="str">
        <f t="shared" si="6"/>
        <v/>
      </c>
      <c r="O22" s="851"/>
      <c r="P22" s="851"/>
      <c r="Q22" s="851" t="s">
        <v>299</v>
      </c>
      <c r="R22" s="851"/>
      <c r="S22" s="851"/>
      <c r="T22" s="858"/>
      <c r="U22" s="748"/>
      <c r="V22" s="748" t="s">
        <v>512</v>
      </c>
      <c r="W22" s="748"/>
      <c r="X22" s="745"/>
      <c r="Y22" s="893"/>
      <c r="Z22" s="748"/>
      <c r="AA22" s="751"/>
      <c r="AB22" s="748"/>
      <c r="AC22" s="748"/>
      <c r="AD22" s="748"/>
    </row>
    <row r="23" spans="1:30" ht="27" customHeight="1">
      <c r="A23" s="747"/>
      <c r="B23" s="797">
        <v>6</v>
      </c>
      <c r="C23" s="745">
        <v>4</v>
      </c>
      <c r="D23" s="861"/>
      <c r="E23" s="745"/>
      <c r="F23" s="745"/>
      <c r="G23" s="788"/>
      <c r="H23" s="852"/>
      <c r="I23" s="897" t="str">
        <f t="shared" si="1"/>
        <v>2.3</v>
      </c>
      <c r="J23" s="897" t="str">
        <f t="shared" si="2"/>
        <v>Расходы на приобретаемую холодную воду, используемую для горячего водоснабжения</v>
      </c>
      <c r="K23" s="897">
        <f t="shared" si="3"/>
        <v>0</v>
      </c>
      <c r="L23" s="746" t="str">
        <f t="shared" si="4"/>
        <v>2.3</v>
      </c>
      <c r="M23" s="746" t="str">
        <f t="shared" si="5"/>
        <v>Расходы на приобретаемую холодную воду, используемую для горячего водоснабжения</v>
      </c>
      <c r="N23" s="746" t="str">
        <f t="shared" si="6"/>
        <v/>
      </c>
      <c r="O23" s="851"/>
      <c r="P23" s="851"/>
      <c r="Q23" s="851" t="s">
        <v>302</v>
      </c>
      <c r="R23" s="851"/>
      <c r="S23" s="851"/>
      <c r="T23" s="858"/>
      <c r="U23" s="748"/>
      <c r="V23" s="748" t="s">
        <v>513</v>
      </c>
      <c r="W23" s="748"/>
      <c r="X23" s="745"/>
      <c r="Y23" s="893"/>
      <c r="Z23" s="748"/>
      <c r="AA23" s="751"/>
      <c r="AB23" s="748"/>
      <c r="AC23" s="748"/>
      <c r="AD23" s="748"/>
    </row>
    <row r="24" spans="1:30" ht="36" customHeight="1">
      <c r="A24" s="747"/>
      <c r="B24" s="797">
        <v>7</v>
      </c>
      <c r="C24" s="745">
        <v>5</v>
      </c>
      <c r="D24" s="861"/>
      <c r="E24" s="745"/>
      <c r="F24" s="745"/>
      <c r="G24" s="788"/>
      <c r="H24" s="852"/>
      <c r="I24" s="897" t="str">
        <f t="shared" si="1"/>
        <v>2.4</v>
      </c>
      <c r="J24" s="897" t="str">
        <f t="shared" si="2"/>
        <v>Расходы на холодную воду, получаемую с применением собственных источников водозабора (скважин) и используемую для горячего водоснабжения</v>
      </c>
      <c r="K24" s="897">
        <f t="shared" si="3"/>
        <v>0</v>
      </c>
      <c r="L24" s="746" t="str">
        <f t="shared" si="4"/>
        <v>2.4</v>
      </c>
      <c r="M24" s="746" t="str">
        <f t="shared" si="5"/>
        <v>Расходы на холодную воду, получаемую с применением собственных источников водозабора (скважин) и используемую для горячего водоснабжения</v>
      </c>
      <c r="N24" s="746" t="str">
        <f t="shared" si="6"/>
        <v/>
      </c>
      <c r="O24" s="851"/>
      <c r="P24" s="851"/>
      <c r="Q24" s="851" t="s">
        <v>514</v>
      </c>
      <c r="R24" s="851"/>
      <c r="S24" s="851"/>
      <c r="T24" s="858"/>
      <c r="U24" s="748"/>
      <c r="V24" s="748" t="s">
        <v>515</v>
      </c>
      <c r="W24" s="748"/>
      <c r="X24" s="745"/>
      <c r="Y24" s="893"/>
      <c r="Z24" s="748"/>
      <c r="AA24" s="751"/>
      <c r="AB24" s="748"/>
      <c r="AC24" s="748"/>
      <c r="AD24" s="748"/>
    </row>
    <row r="25" spans="1:30" ht="36" customHeight="1">
      <c r="A25" s="747"/>
      <c r="B25" s="797">
        <v>8</v>
      </c>
      <c r="C25" s="745">
        <v>6</v>
      </c>
      <c r="D25" s="861"/>
      <c r="E25" s="745"/>
      <c r="F25" s="745"/>
      <c r="G25" s="788"/>
      <c r="H25" s="852"/>
      <c r="I25" s="897" t="str">
        <f t="shared" si="1"/>
        <v>2.5</v>
      </c>
      <c r="J25" s="897" t="str">
        <f t="shared" si="2"/>
        <v>Расходы на приобретаемую электрическую энергию (мощность), используемую в технологическом процессе</v>
      </c>
      <c r="K25" s="897">
        <f t="shared" si="3"/>
        <v>0</v>
      </c>
      <c r="L25" s="746" t="str">
        <f t="shared" si="4"/>
        <v>2.5</v>
      </c>
      <c r="M25" s="746" t="str">
        <f t="shared" si="5"/>
        <v>Расходы на приобретаемую электрическую энергию (мощность), используемую в технологическом процессе</v>
      </c>
      <c r="N25" s="746" t="str">
        <f t="shared" si="6"/>
        <v/>
      </c>
      <c r="O25" s="851" t="s">
        <v>302</v>
      </c>
      <c r="P25" s="851" t="s">
        <v>299</v>
      </c>
      <c r="Q25" s="851" t="s">
        <v>516</v>
      </c>
      <c r="R25" s="851" t="s">
        <v>299</v>
      </c>
      <c r="S25" s="851"/>
      <c r="T25" s="858" t="s">
        <v>517</v>
      </c>
      <c r="U25" s="748" t="s">
        <v>517</v>
      </c>
      <c r="V25" s="748" t="s">
        <v>517</v>
      </c>
      <c r="W25" s="748" t="s">
        <v>517</v>
      </c>
      <c r="X25" s="745"/>
      <c r="Y25" s="893"/>
      <c r="Z25" s="748"/>
      <c r="AA25" s="751"/>
      <c r="AB25" s="748"/>
      <c r="AC25" s="748"/>
      <c r="AD25" s="748"/>
    </row>
    <row r="26" spans="1:30" ht="18" customHeight="1">
      <c r="A26" s="747"/>
      <c r="B26" s="797">
        <v>9</v>
      </c>
      <c r="C26" s="745" t="s">
        <v>518</v>
      </c>
      <c r="D26" s="861"/>
      <c r="E26" s="745"/>
      <c r="F26" s="745"/>
      <c r="G26" s="788"/>
      <c r="H26" s="852"/>
      <c r="I26" s="897" t="str">
        <f t="shared" si="1"/>
        <v>2.5.1</v>
      </c>
      <c r="J26" s="897" t="str">
        <f t="shared" si="2"/>
        <v>Средневзвешенная стоимость 1 кВт.ч (с учетом мощности)</v>
      </c>
      <c r="K26" s="897">
        <f t="shared" si="3"/>
        <v>0</v>
      </c>
      <c r="L26" s="746" t="str">
        <f t="shared" si="4"/>
        <v>2.5.1</v>
      </c>
      <c r="M26" s="746" t="str">
        <f t="shared" si="5"/>
        <v>Средневзвешенная стоимость 1 кВт.ч (с учетом мощности)</v>
      </c>
      <c r="N26" s="746" t="str">
        <f t="shared" si="6"/>
        <v/>
      </c>
      <c r="O26" s="851" t="s">
        <v>519</v>
      </c>
      <c r="P26" s="851" t="s">
        <v>520</v>
      </c>
      <c r="Q26" s="851" t="s">
        <v>521</v>
      </c>
      <c r="R26" s="851" t="s">
        <v>520</v>
      </c>
      <c r="S26" s="851"/>
      <c r="T26" s="858" t="s">
        <v>522</v>
      </c>
      <c r="U26" s="858" t="s">
        <v>522</v>
      </c>
      <c r="V26" s="858" t="s">
        <v>522</v>
      </c>
      <c r="W26" s="858" t="s">
        <v>522</v>
      </c>
      <c r="X26" s="745"/>
      <c r="Y26" s="893"/>
      <c r="Z26" s="748"/>
      <c r="AA26" s="751"/>
      <c r="AB26" s="748"/>
      <c r="AC26" s="748"/>
      <c r="AD26" s="748"/>
    </row>
    <row r="27" spans="1:30" ht="18" customHeight="1">
      <c r="A27" s="747"/>
      <c r="B27" s="797">
        <v>10</v>
      </c>
      <c r="C27" s="745" t="s">
        <v>523</v>
      </c>
      <c r="D27" s="861"/>
      <c r="E27" s="745"/>
      <c r="F27" s="745"/>
      <c r="G27" s="788"/>
      <c r="H27" s="852"/>
      <c r="I27" s="897" t="str">
        <f t="shared" si="1"/>
        <v>2.5.2</v>
      </c>
      <c r="J27" s="897" t="str">
        <f t="shared" si="2"/>
        <v>Объём приобретения электрической энергии</v>
      </c>
      <c r="K27" s="897">
        <f t="shared" si="3"/>
        <v>0</v>
      </c>
      <c r="L27" s="746" t="str">
        <f t="shared" si="4"/>
        <v>2.5.2</v>
      </c>
      <c r="M27" s="746" t="str">
        <f t="shared" si="5"/>
        <v>Объём приобретения электрической энергии</v>
      </c>
      <c r="N27" s="746" t="str">
        <f t="shared" si="6"/>
        <v/>
      </c>
      <c r="O27" s="851" t="s">
        <v>524</v>
      </c>
      <c r="P27" s="851" t="s">
        <v>525</v>
      </c>
      <c r="Q27" s="851" t="s">
        <v>526</v>
      </c>
      <c r="R27" s="851" t="s">
        <v>525</v>
      </c>
      <c r="S27" s="851"/>
      <c r="T27" s="858" t="s">
        <v>527</v>
      </c>
      <c r="U27" s="858" t="s">
        <v>527</v>
      </c>
      <c r="V27" s="858" t="s">
        <v>527</v>
      </c>
      <c r="W27" s="858" t="s">
        <v>527</v>
      </c>
      <c r="X27" s="745"/>
      <c r="Y27" s="893"/>
      <c r="Z27" s="748"/>
      <c r="AA27" s="751"/>
      <c r="AB27" s="748"/>
      <c r="AC27" s="748"/>
      <c r="AD27" s="748"/>
    </row>
    <row r="28" spans="1:30" ht="27" customHeight="1">
      <c r="A28" s="747"/>
      <c r="B28" s="797">
        <v>11</v>
      </c>
      <c r="C28" s="745">
        <v>7</v>
      </c>
      <c r="D28" s="861"/>
      <c r="E28" s="745"/>
      <c r="F28" s="745"/>
      <c r="G28" s="788"/>
      <c r="H28" s="852"/>
      <c r="I28" s="897">
        <f t="shared" si="1"/>
        <v>0</v>
      </c>
      <c r="J28" s="897">
        <f t="shared" si="2"/>
        <v>0</v>
      </c>
      <c r="K28" s="897">
        <f t="shared" si="3"/>
        <v>0</v>
      </c>
      <c r="L28" s="746" t="str">
        <f t="shared" si="4"/>
        <v/>
      </c>
      <c r="M28" s="746" t="str">
        <f t="shared" si="5"/>
        <v/>
      </c>
      <c r="N28" s="746" t="str">
        <f t="shared" si="6"/>
        <v/>
      </c>
      <c r="O28" s="851" t="s">
        <v>514</v>
      </c>
      <c r="P28" s="851"/>
      <c r="Q28" s="851"/>
      <c r="R28" s="851"/>
      <c r="S28" s="851"/>
      <c r="T28" s="858" t="s">
        <v>528</v>
      </c>
      <c r="U28" s="748"/>
      <c r="V28" s="748"/>
      <c r="W28" s="748"/>
      <c r="X28" s="745"/>
      <c r="Y28" s="893"/>
      <c r="Z28" s="748"/>
      <c r="AA28" s="751"/>
      <c r="AB28" s="748"/>
      <c r="AC28" s="748"/>
      <c r="AD28" s="748"/>
    </row>
    <row r="29" spans="1:30" ht="27" customHeight="1">
      <c r="A29" s="747"/>
      <c r="B29" s="797">
        <v>12</v>
      </c>
      <c r="C29" s="745">
        <v>8</v>
      </c>
      <c r="D29" s="861"/>
      <c r="E29" s="745"/>
      <c r="F29" s="745"/>
      <c r="G29" s="788"/>
      <c r="H29" s="852"/>
      <c r="I29" s="897">
        <f t="shared" si="1"/>
        <v>0</v>
      </c>
      <c r="J29" s="897">
        <f t="shared" si="2"/>
        <v>0</v>
      </c>
      <c r="K29" s="897">
        <f t="shared" si="3"/>
        <v>0</v>
      </c>
      <c r="L29" s="746" t="str">
        <f t="shared" si="4"/>
        <v/>
      </c>
      <c r="M29" s="746" t="str">
        <f t="shared" si="5"/>
        <v/>
      </c>
      <c r="N29" s="746" t="str">
        <f t="shared" si="6"/>
        <v/>
      </c>
      <c r="O29" s="851" t="s">
        <v>516</v>
      </c>
      <c r="P29" s="851" t="s">
        <v>302</v>
      </c>
      <c r="Q29" s="851"/>
      <c r="R29" s="851" t="s">
        <v>302</v>
      </c>
      <c r="S29" s="851"/>
      <c r="T29" s="858" t="s">
        <v>529</v>
      </c>
      <c r="U29" s="748" t="s">
        <v>529</v>
      </c>
      <c r="V29" s="748"/>
      <c r="W29" s="748" t="s">
        <v>529</v>
      </c>
      <c r="X29" s="745"/>
      <c r="Y29" s="893"/>
      <c r="Z29" s="748"/>
      <c r="AA29" s="751"/>
      <c r="AB29" s="748"/>
      <c r="AC29" s="748"/>
      <c r="AD29" s="748"/>
    </row>
    <row r="30" spans="1:30" ht="54" customHeight="1">
      <c r="A30" s="747"/>
      <c r="B30" s="797">
        <v>13</v>
      </c>
      <c r="C30" s="745">
        <v>9</v>
      </c>
      <c r="D30" s="861"/>
      <c r="E30" s="745"/>
      <c r="F30" s="745"/>
      <c r="G30" s="788"/>
      <c r="H30" s="852"/>
      <c r="I30" s="897" t="str">
        <f t="shared" si="1"/>
        <v>2.6</v>
      </c>
      <c r="J30" s="897" t="str">
        <f t="shared" si="2"/>
        <v>Расходы на оплату труда и страховые взносы на обязательное социальное страхование, выплачиваемые из фонда оплаты труда основного производственного персонала, в том числе:</v>
      </c>
      <c r="K30" s="897" t="str">
        <f t="shared" si="3"/>
        <v>Указывается общая сумма расходов на оплату труда и отчислений на социальные нужды основного производственного персонала.</v>
      </c>
      <c r="L30" s="746" t="str">
        <f t="shared" si="4"/>
        <v>2.6</v>
      </c>
      <c r="M30" s="746" t="str">
        <f t="shared" si="5"/>
        <v>Расходы на оплату труда и страховые взносы на обязательное социальное страхование, выплачиваемые из фонда оплаты труда основного производственного персонала, в том числе:</v>
      </c>
      <c r="N30" s="746" t="str">
        <f t="shared" si="6"/>
        <v>Указывается общая сумма расходов на оплату труда и отчислений на социальные нужды основного производственного персонала.</v>
      </c>
      <c r="O30" s="851" t="s">
        <v>530</v>
      </c>
      <c r="P30" s="851" t="s">
        <v>514</v>
      </c>
      <c r="Q30" s="851" t="s">
        <v>530</v>
      </c>
      <c r="R30" s="851" t="s">
        <v>514</v>
      </c>
      <c r="S30" s="851"/>
      <c r="T30" s="858" t="s">
        <v>531</v>
      </c>
      <c r="U30" s="748" t="s">
        <v>531</v>
      </c>
      <c r="V30" s="748" t="s">
        <v>531</v>
      </c>
      <c r="W30" s="748" t="s">
        <v>531</v>
      </c>
      <c r="X30" s="745"/>
      <c r="Y30" s="893"/>
      <c r="Z30" s="748"/>
      <c r="AA30" s="751" t="s">
        <v>532</v>
      </c>
      <c r="AB30" s="751" t="s">
        <v>532</v>
      </c>
      <c r="AC30" s="751" t="s">
        <v>532</v>
      </c>
      <c r="AD30" s="748"/>
    </row>
    <row r="31" spans="1:30" ht="18" customHeight="1">
      <c r="A31" s="747"/>
      <c r="B31" s="797">
        <v>14</v>
      </c>
      <c r="C31" s="745" t="s">
        <v>533</v>
      </c>
      <c r="D31" s="861"/>
      <c r="E31" s="745"/>
      <c r="F31" s="745"/>
      <c r="G31" s="788"/>
      <c r="H31" s="852"/>
      <c r="I31" s="897" t="str">
        <f t="shared" si="1"/>
        <v>2.6.1</v>
      </c>
      <c r="J31" s="897" t="str">
        <f t="shared" si="2"/>
        <v>Расходы на оплату труда основного производственного персонала</v>
      </c>
      <c r="K31" s="897">
        <f t="shared" si="3"/>
        <v>0</v>
      </c>
      <c r="L31" s="746" t="str">
        <f t="shared" si="4"/>
        <v>2.6.1</v>
      </c>
      <c r="M31" s="746" t="str">
        <f t="shared" si="5"/>
        <v>Расходы на оплату труда основного производственного персонала</v>
      </c>
      <c r="N31" s="746" t="str">
        <f t="shared" si="6"/>
        <v/>
      </c>
      <c r="O31" s="851" t="s">
        <v>534</v>
      </c>
      <c r="P31" s="851" t="s">
        <v>535</v>
      </c>
      <c r="Q31" s="851" t="s">
        <v>534</v>
      </c>
      <c r="R31" s="851" t="s">
        <v>535</v>
      </c>
      <c r="S31" s="851"/>
      <c r="T31" s="859" t="s">
        <v>536</v>
      </c>
      <c r="U31" s="748" t="s">
        <v>536</v>
      </c>
      <c r="V31" s="748" t="s">
        <v>536</v>
      </c>
      <c r="W31" s="748" t="s">
        <v>536</v>
      </c>
      <c r="X31" s="745"/>
      <c r="Y31" s="893"/>
      <c r="Z31" s="748"/>
      <c r="AA31" s="751"/>
      <c r="AB31" s="751"/>
      <c r="AC31" s="751"/>
      <c r="AD31" s="748"/>
    </row>
    <row r="32" spans="1:30" ht="36" customHeight="1">
      <c r="A32" s="747"/>
      <c r="B32" s="797">
        <v>15</v>
      </c>
      <c r="C32" s="745" t="s">
        <v>537</v>
      </c>
      <c r="D32" s="861"/>
      <c r="E32" s="745"/>
      <c r="F32" s="745"/>
      <c r="G32" s="788"/>
      <c r="H32" s="852"/>
      <c r="I32" s="897" t="str">
        <f t="shared" si="1"/>
        <v>2.6.2</v>
      </c>
      <c r="J32" s="897" t="str">
        <f t="shared" si="2"/>
        <v>Страховые взносы на обязательное социальное страхование, выплачиваемые из фонда оплаты труда основного производственного персонала</v>
      </c>
      <c r="K32" s="897">
        <f t="shared" si="3"/>
        <v>0</v>
      </c>
      <c r="L32" s="746" t="str">
        <f t="shared" si="4"/>
        <v>2.6.2</v>
      </c>
      <c r="M32" s="746" t="str">
        <f t="shared" si="5"/>
        <v>Страховые взносы на обязательное социальное страхование, выплачиваемые из фонда оплаты труда основного производственного персонала</v>
      </c>
      <c r="N32" s="746" t="str">
        <f t="shared" si="6"/>
        <v/>
      </c>
      <c r="O32" s="851" t="s">
        <v>538</v>
      </c>
      <c r="P32" s="851" t="s">
        <v>539</v>
      </c>
      <c r="Q32" s="851" t="s">
        <v>538</v>
      </c>
      <c r="R32" s="851" t="s">
        <v>539</v>
      </c>
      <c r="S32" s="851"/>
      <c r="T32" s="860" t="s">
        <v>540</v>
      </c>
      <c r="U32" s="748" t="s">
        <v>540</v>
      </c>
      <c r="V32" s="748" t="s">
        <v>540</v>
      </c>
      <c r="W32" s="748" t="s">
        <v>540</v>
      </c>
      <c r="X32" s="745"/>
      <c r="Y32" s="893"/>
      <c r="Z32" s="748"/>
      <c r="AA32" s="751"/>
      <c r="AB32" s="751"/>
      <c r="AC32" s="751"/>
      <c r="AD32" s="748"/>
    </row>
    <row r="33" spans="1:30" ht="45" customHeight="1">
      <c r="A33" s="747"/>
      <c r="B33" s="797">
        <v>16</v>
      </c>
      <c r="C33" s="745">
        <v>10</v>
      </c>
      <c r="D33" s="861"/>
      <c r="E33" s="745"/>
      <c r="F33" s="745"/>
      <c r="G33" s="788"/>
      <c r="H33" s="852"/>
      <c r="I33" s="897" t="str">
        <f t="shared" si="1"/>
        <v>2.7</v>
      </c>
      <c r="J33" s="897" t="str">
        <f t="shared" si="2"/>
        <v>Расходы на оплату труда и страховые взносы на обязательное социальное страхование, выплачиваемые из фонда оплаты труда административно-управленческого персонала, в том числе:</v>
      </c>
      <c r="K33" s="897" t="str">
        <f t="shared" si="3"/>
        <v>Указывается общая сумма расходов на оплату труда и отчислений на социальные нужды административно-управленческого персонала.</v>
      </c>
      <c r="L33" s="746" t="str">
        <f t="shared" si="4"/>
        <v>2.7</v>
      </c>
      <c r="M33" s="746" t="str">
        <f t="shared" si="5"/>
        <v>Расходы на оплату труда и страховые взносы на обязательное социальное страхование, выплачиваемые из фонда оплаты труда административно-управленческого персонала, в том числе:</v>
      </c>
      <c r="N33" s="746" t="str">
        <f t="shared" si="6"/>
        <v>Указывается общая сумма расходов на оплату труда и отчислений на социальные нужды административно-управленческого персонала.</v>
      </c>
      <c r="O33" s="851" t="s">
        <v>541</v>
      </c>
      <c r="P33" s="851" t="s">
        <v>516</v>
      </c>
      <c r="Q33" s="851" t="s">
        <v>541</v>
      </c>
      <c r="R33" s="851" t="s">
        <v>516</v>
      </c>
      <c r="S33" s="851"/>
      <c r="T33" s="859" t="s">
        <v>542</v>
      </c>
      <c r="U33" s="748" t="s">
        <v>542</v>
      </c>
      <c r="V33" s="748" t="s">
        <v>542</v>
      </c>
      <c r="W33" s="748" t="s">
        <v>543</v>
      </c>
      <c r="X33" s="745"/>
      <c r="Y33" s="893"/>
      <c r="Z33" s="748"/>
      <c r="AA33" s="751" t="s">
        <v>544</v>
      </c>
      <c r="AB33" s="751" t="s">
        <v>544</v>
      </c>
      <c r="AC33" s="751" t="s">
        <v>544</v>
      </c>
      <c r="AD33" s="748"/>
    </row>
    <row r="34" spans="1:30" ht="27" customHeight="1">
      <c r="A34" s="747"/>
      <c r="B34" s="797">
        <v>17</v>
      </c>
      <c r="C34" s="745" t="s">
        <v>545</v>
      </c>
      <c r="D34" s="861"/>
      <c r="E34" s="745"/>
      <c r="F34" s="745"/>
      <c r="G34" s="788"/>
      <c r="H34" s="852"/>
      <c r="I34" s="897" t="str">
        <f t="shared" si="1"/>
        <v>2.7.1</v>
      </c>
      <c r="J34" s="897" t="str">
        <f t="shared" si="2"/>
        <v>Расходы на оплату труда административно-управленческого персонала</v>
      </c>
      <c r="K34" s="897">
        <f t="shared" si="3"/>
        <v>0</v>
      </c>
      <c r="L34" s="746" t="str">
        <f t="shared" si="4"/>
        <v>2.7.1</v>
      </c>
      <c r="M34" s="746" t="str">
        <f t="shared" si="5"/>
        <v>Расходы на оплату труда административно-управленческого персонала</v>
      </c>
      <c r="N34" s="746" t="str">
        <f t="shared" si="6"/>
        <v/>
      </c>
      <c r="O34" s="851" t="s">
        <v>546</v>
      </c>
      <c r="P34" s="851" t="s">
        <v>521</v>
      </c>
      <c r="Q34" s="851" t="s">
        <v>546</v>
      </c>
      <c r="R34" s="851" t="s">
        <v>521</v>
      </c>
      <c r="S34" s="851"/>
      <c r="T34" s="860" t="s">
        <v>547</v>
      </c>
      <c r="U34" s="748" t="s">
        <v>547</v>
      </c>
      <c r="V34" s="748" t="s">
        <v>547</v>
      </c>
      <c r="W34" s="748" t="s">
        <v>548</v>
      </c>
      <c r="X34" s="745"/>
      <c r="Y34" s="893"/>
      <c r="Z34" s="748"/>
      <c r="AA34" s="751"/>
      <c r="AB34" s="748"/>
      <c r="AC34" s="748"/>
      <c r="AD34" s="748"/>
    </row>
    <row r="35" spans="1:30" ht="45" customHeight="1">
      <c r="A35" s="747"/>
      <c r="B35" s="797">
        <v>18</v>
      </c>
      <c r="C35" s="745" t="s">
        <v>549</v>
      </c>
      <c r="D35" s="861"/>
      <c r="E35" s="745"/>
      <c r="F35" s="745"/>
      <c r="G35" s="788"/>
      <c r="H35" s="852"/>
      <c r="I35" s="897" t="str">
        <f t="shared" si="1"/>
        <v>2.7.2</v>
      </c>
      <c r="J35" s="897" t="str">
        <f t="shared" si="2"/>
        <v>Страховые взносы на обязательное социальное страхование, выплачиваемые из фонда оплаты труда административно-управленческого персонала</v>
      </c>
      <c r="K35" s="897">
        <f t="shared" si="3"/>
        <v>0</v>
      </c>
      <c r="L35" s="746" t="str">
        <f t="shared" si="4"/>
        <v>2.7.2</v>
      </c>
      <c r="M35" s="746" t="str">
        <f t="shared" si="5"/>
        <v>Страховые взносы на обязательное социальное страхование, выплачиваемые из фонда оплаты труда административно-управленческого персонала</v>
      </c>
      <c r="N35" s="746" t="str">
        <f t="shared" si="6"/>
        <v/>
      </c>
      <c r="O35" s="851" t="s">
        <v>550</v>
      </c>
      <c r="P35" s="851" t="s">
        <v>526</v>
      </c>
      <c r="Q35" s="851" t="s">
        <v>550</v>
      </c>
      <c r="R35" s="851" t="s">
        <v>526</v>
      </c>
      <c r="S35" s="851"/>
      <c r="T35" s="858" t="s">
        <v>551</v>
      </c>
      <c r="U35" s="748" t="s">
        <v>551</v>
      </c>
      <c r="V35" s="748" t="s">
        <v>551</v>
      </c>
      <c r="W35" s="748" t="s">
        <v>551</v>
      </c>
      <c r="X35" s="745"/>
      <c r="Y35" s="893"/>
      <c r="Z35" s="748"/>
      <c r="AA35" s="751"/>
      <c r="AB35" s="748"/>
      <c r="AC35" s="748"/>
      <c r="AD35" s="748"/>
    </row>
    <row r="36" spans="1:30" ht="18" customHeight="1">
      <c r="A36" s="747"/>
      <c r="B36" s="797">
        <v>19</v>
      </c>
      <c r="C36" s="745">
        <v>11</v>
      </c>
      <c r="D36" s="861"/>
      <c r="E36" s="745"/>
      <c r="F36" s="745"/>
      <c r="G36" s="788"/>
      <c r="H36" s="852"/>
      <c r="I36" s="897" t="str">
        <f t="shared" si="1"/>
        <v>2.8</v>
      </c>
      <c r="J36" s="897" t="str">
        <f t="shared" si="2"/>
        <v>Расходы на амортизацию основных средств и нематериальных активов</v>
      </c>
      <c r="K36" s="897">
        <f t="shared" si="3"/>
        <v>0</v>
      </c>
      <c r="L36" s="746" t="str">
        <f t="shared" si="4"/>
        <v>2.8</v>
      </c>
      <c r="M36" s="746" t="str">
        <f t="shared" si="5"/>
        <v>Расходы на амортизацию основных средств и нематериальных активов</v>
      </c>
      <c r="N36" s="746" t="str">
        <f t="shared" si="6"/>
        <v/>
      </c>
      <c r="O36" s="851" t="s">
        <v>552</v>
      </c>
      <c r="P36" s="851" t="s">
        <v>530</v>
      </c>
      <c r="Q36" s="851" t="s">
        <v>552</v>
      </c>
      <c r="R36" s="851" t="s">
        <v>530</v>
      </c>
      <c r="S36" s="851"/>
      <c r="T36" s="858" t="s">
        <v>553</v>
      </c>
      <c r="U36" s="748" t="s">
        <v>553</v>
      </c>
      <c r="V36" s="748" t="s">
        <v>553</v>
      </c>
      <c r="W36" s="748" t="s">
        <v>553</v>
      </c>
      <c r="X36" s="745"/>
      <c r="Y36" s="893"/>
      <c r="Z36" s="748"/>
      <c r="AA36" s="751"/>
      <c r="AB36" s="748"/>
      <c r="AC36" s="748"/>
      <c r="AD36" s="748"/>
    </row>
    <row r="37" spans="1:30" ht="18" customHeight="1">
      <c r="A37" s="747"/>
      <c r="B37" s="797">
        <v>20</v>
      </c>
      <c r="C37" s="745" t="s">
        <v>554</v>
      </c>
      <c r="D37" s="861"/>
      <c r="E37" s="745"/>
      <c r="F37" s="745"/>
      <c r="G37" s="788"/>
      <c r="H37" s="852"/>
      <c r="I37" s="897" t="str">
        <f t="shared" si="1"/>
        <v>2.8.1</v>
      </c>
      <c r="J37" s="897" t="str">
        <f t="shared" si="2"/>
        <v>Расходы на амортизацию основных средств</v>
      </c>
      <c r="K37" s="897">
        <f t="shared" si="3"/>
        <v>0</v>
      </c>
      <c r="L37" s="746" t="str">
        <f t="shared" si="4"/>
        <v>2.8.1</v>
      </c>
      <c r="M37" s="746" t="str">
        <f t="shared" si="5"/>
        <v>Расходы на амортизацию основных средств</v>
      </c>
      <c r="N37" s="746" t="str">
        <f t="shared" si="6"/>
        <v/>
      </c>
      <c r="O37" s="851" t="s">
        <v>555</v>
      </c>
      <c r="P37" s="851" t="s">
        <v>534</v>
      </c>
      <c r="Q37" s="851" t="s">
        <v>555</v>
      </c>
      <c r="R37" s="851" t="s">
        <v>534</v>
      </c>
      <c r="S37" s="851"/>
      <c r="T37" s="858" t="s">
        <v>556</v>
      </c>
      <c r="U37" s="748" t="s">
        <v>556</v>
      </c>
      <c r="V37" s="748" t="s">
        <v>556</v>
      </c>
      <c r="W37" s="748" t="s">
        <v>556</v>
      </c>
      <c r="X37" s="745"/>
      <c r="Y37" s="893"/>
      <c r="Z37" s="748"/>
      <c r="AA37" s="751"/>
      <c r="AB37" s="748"/>
      <c r="AC37" s="748"/>
      <c r="AD37" s="748"/>
    </row>
    <row r="38" spans="1:30" ht="18" customHeight="1">
      <c r="A38" s="747"/>
      <c r="B38" s="797">
        <v>21</v>
      </c>
      <c r="C38" s="745" t="s">
        <v>557</v>
      </c>
      <c r="D38" s="861"/>
      <c r="E38" s="745"/>
      <c r="F38" s="745"/>
      <c r="G38" s="788"/>
      <c r="H38" s="852"/>
      <c r="I38" s="897" t="str">
        <f t="shared" si="1"/>
        <v>2.8.2</v>
      </c>
      <c r="J38" s="897" t="str">
        <f t="shared" si="2"/>
        <v>Расходы на амортизацию нематериальных активов</v>
      </c>
      <c r="K38" s="897">
        <f t="shared" si="3"/>
        <v>0</v>
      </c>
      <c r="L38" s="746" t="str">
        <f t="shared" si="4"/>
        <v>2.8.2</v>
      </c>
      <c r="M38" s="746" t="str">
        <f t="shared" si="5"/>
        <v>Расходы на амортизацию нематериальных активов</v>
      </c>
      <c r="N38" s="746" t="str">
        <f t="shared" si="6"/>
        <v/>
      </c>
      <c r="O38" s="851" t="s">
        <v>558</v>
      </c>
      <c r="P38" s="851" t="s">
        <v>538</v>
      </c>
      <c r="Q38" s="851" t="s">
        <v>558</v>
      </c>
      <c r="R38" s="851" t="s">
        <v>538</v>
      </c>
      <c r="S38" s="851"/>
      <c r="T38" s="858" t="s">
        <v>559</v>
      </c>
      <c r="U38" s="748" t="s">
        <v>559</v>
      </c>
      <c r="V38" s="748" t="s">
        <v>559</v>
      </c>
      <c r="W38" s="748" t="s">
        <v>559</v>
      </c>
      <c r="X38" s="745"/>
      <c r="Y38" s="893"/>
      <c r="Z38" s="748"/>
      <c r="AA38" s="751"/>
      <c r="AB38" s="748"/>
      <c r="AC38" s="748"/>
      <c r="AD38" s="748"/>
    </row>
    <row r="39" spans="1:30" ht="36" customHeight="1">
      <c r="A39" s="747"/>
      <c r="B39" s="797">
        <v>22</v>
      </c>
      <c r="C39" s="745">
        <v>12</v>
      </c>
      <c r="D39" s="861"/>
      <c r="E39" s="745"/>
      <c r="F39" s="745"/>
      <c r="G39" s="788"/>
      <c r="H39" s="852"/>
      <c r="I39" s="897" t="str">
        <f t="shared" si="1"/>
        <v>2.9</v>
      </c>
      <c r="J39" s="897" t="str">
        <f t="shared" si="2"/>
        <v>Расходы на аренду имущества, используемого для осуществления регулируемых видов деятельности в сфере горячего водоснабжения</v>
      </c>
      <c r="K39" s="897">
        <f t="shared" si="3"/>
        <v>0</v>
      </c>
      <c r="L39" s="746" t="str">
        <f t="shared" si="4"/>
        <v>2.9</v>
      </c>
      <c r="M39" s="746" t="str">
        <f t="shared" si="5"/>
        <v>Расходы на аренду имущества, используемого для осуществления регулируемых видов деятельности в сфере горячего водоснабжения</v>
      </c>
      <c r="N39" s="746" t="str">
        <f t="shared" si="6"/>
        <v/>
      </c>
      <c r="O39" s="851" t="s">
        <v>560</v>
      </c>
      <c r="P39" s="851" t="s">
        <v>541</v>
      </c>
      <c r="Q39" s="851" t="s">
        <v>560</v>
      </c>
      <c r="R39" s="851" t="s">
        <v>541</v>
      </c>
      <c r="S39" s="851"/>
      <c r="T39" s="858" t="s">
        <v>561</v>
      </c>
      <c r="U39" s="748" t="s">
        <v>562</v>
      </c>
      <c r="V39" s="748" t="s">
        <v>563</v>
      </c>
      <c r="W39" s="748" t="s">
        <v>564</v>
      </c>
      <c r="X39" s="745"/>
      <c r="Y39" s="893"/>
      <c r="Z39" s="748"/>
      <c r="AA39" s="751"/>
      <c r="AB39" s="748"/>
      <c r="AC39" s="748"/>
      <c r="AD39" s="748"/>
    </row>
    <row r="40" spans="1:30" ht="18" customHeight="1">
      <c r="A40" s="747"/>
      <c r="B40" s="797">
        <v>23</v>
      </c>
      <c r="C40" s="745">
        <v>13</v>
      </c>
      <c r="D40" s="861"/>
      <c r="E40" s="745"/>
      <c r="F40" s="745"/>
      <c r="G40" s="745"/>
      <c r="H40" s="791"/>
      <c r="I40" s="897" t="str">
        <f t="shared" si="1"/>
        <v>2.10</v>
      </c>
      <c r="J40" s="897" t="str">
        <f t="shared" si="2"/>
        <v>Общепроизводственные расходы, в том числе:</v>
      </c>
      <c r="K40" s="897" t="str">
        <f t="shared" si="3"/>
        <v>Указывается общая сумма общепроизводственных расходов.</v>
      </c>
      <c r="L40" s="746" t="str">
        <f t="shared" si="4"/>
        <v>2.10</v>
      </c>
      <c r="M40" s="746" t="str">
        <f t="shared" si="5"/>
        <v>Общепроизводственные расходы, в том числе:</v>
      </c>
      <c r="N40" s="746" t="str">
        <f t="shared" si="6"/>
        <v>Указывается общая сумма общепроизводственных расходов.</v>
      </c>
      <c r="O40" s="851" t="s">
        <v>565</v>
      </c>
      <c r="P40" s="851" t="s">
        <v>552</v>
      </c>
      <c r="Q40" s="851" t="s">
        <v>565</v>
      </c>
      <c r="R40" s="851" t="s">
        <v>552</v>
      </c>
      <c r="S40" s="851"/>
      <c r="T40" s="745" t="s">
        <v>566</v>
      </c>
      <c r="U40" s="745" t="s">
        <v>566</v>
      </c>
      <c r="V40" s="745" t="s">
        <v>566</v>
      </c>
      <c r="W40" s="745" t="s">
        <v>566</v>
      </c>
      <c r="X40" s="745"/>
      <c r="Y40" s="893"/>
      <c r="Z40" s="748" t="s">
        <v>567</v>
      </c>
      <c r="AA40" s="751" t="s">
        <v>567</v>
      </c>
      <c r="AB40" s="751" t="s">
        <v>567</v>
      </c>
      <c r="AC40" s="751" t="s">
        <v>567</v>
      </c>
      <c r="AD40" s="748"/>
    </row>
    <row r="41" spans="1:30" ht="27" customHeight="1">
      <c r="A41" s="747"/>
      <c r="B41" s="797">
        <v>24</v>
      </c>
      <c r="C41" s="745" t="s">
        <v>568</v>
      </c>
      <c r="D41" s="861"/>
      <c r="E41" s="745"/>
      <c r="F41" s="745"/>
      <c r="G41" s="745"/>
      <c r="H41" s="788"/>
      <c r="I41" s="897" t="str">
        <f t="shared" si="1"/>
        <v>2.10.1</v>
      </c>
      <c r="J41" s="897" t="str">
        <f t="shared" si="2"/>
        <v>Расходы на текущий ремонт</v>
      </c>
      <c r="K41" s="897" t="str">
        <f t="shared" si="3"/>
        <v>Указываются расходы на текущий ремонт, отнесенные к общепроизводственным расходам.</v>
      </c>
      <c r="L41" s="746" t="str">
        <f t="shared" si="4"/>
        <v>2.10.1</v>
      </c>
      <c r="M41" s="746" t="str">
        <f t="shared" si="5"/>
        <v>Расходы на текущий ремонт</v>
      </c>
      <c r="N41" s="746" t="str">
        <f t="shared" si="6"/>
        <v>Указываются расходы на текущий ремонт, отнесенные к общепроизводственным расходам.</v>
      </c>
      <c r="O41" s="851" t="s">
        <v>569</v>
      </c>
      <c r="P41" s="851" t="s">
        <v>555</v>
      </c>
      <c r="Q41" s="851" t="s">
        <v>569</v>
      </c>
      <c r="R41" s="851" t="s">
        <v>555</v>
      </c>
      <c r="S41" s="851"/>
      <c r="T41" s="745" t="s">
        <v>570</v>
      </c>
      <c r="U41" s="745" t="s">
        <v>570</v>
      </c>
      <c r="V41" s="745" t="s">
        <v>570</v>
      </c>
      <c r="W41" s="745" t="s">
        <v>570</v>
      </c>
      <c r="X41" s="745"/>
      <c r="Y41" s="893"/>
      <c r="Z41" s="748" t="s">
        <v>571</v>
      </c>
      <c r="AA41" s="748" t="s">
        <v>571</v>
      </c>
      <c r="AB41" s="748" t="s">
        <v>571</v>
      </c>
      <c r="AC41" s="748" t="s">
        <v>571</v>
      </c>
      <c r="AD41" s="748"/>
    </row>
    <row r="42" spans="1:30" ht="27" customHeight="1">
      <c r="A42" s="747"/>
      <c r="B42" s="797">
        <v>25</v>
      </c>
      <c r="C42" s="745" t="s">
        <v>572</v>
      </c>
      <c r="D42" s="861"/>
      <c r="E42" s="745"/>
      <c r="F42" s="745"/>
      <c r="G42" s="745"/>
      <c r="H42" s="788"/>
      <c r="I42" s="897" t="str">
        <f t="shared" si="1"/>
        <v>2.10.2</v>
      </c>
      <c r="J42" s="897" t="str">
        <f t="shared" si="2"/>
        <v>Расходы на капитальный ремонт</v>
      </c>
      <c r="K42" s="897" t="str">
        <f t="shared" si="3"/>
        <v>Указываются расходы на капитальный ремонт, отнесенные к общепроизводственным расходам.</v>
      </c>
      <c r="L42" s="746" t="str">
        <f t="shared" si="4"/>
        <v>2.10.2</v>
      </c>
      <c r="M42" s="746" t="str">
        <f t="shared" si="5"/>
        <v>Расходы на капитальный ремонт</v>
      </c>
      <c r="N42" s="746" t="str">
        <f t="shared" si="6"/>
        <v>Указываются расходы на капитальный ремонт, отнесенные к общепроизводственным расходам.</v>
      </c>
      <c r="O42" s="851" t="s">
        <v>573</v>
      </c>
      <c r="P42" s="851" t="s">
        <v>558</v>
      </c>
      <c r="Q42" s="851" t="s">
        <v>573</v>
      </c>
      <c r="R42" s="851" t="s">
        <v>558</v>
      </c>
      <c r="S42" s="851"/>
      <c r="T42" s="745" t="s">
        <v>574</v>
      </c>
      <c r="U42" s="745" t="s">
        <v>574</v>
      </c>
      <c r="V42" s="745" t="s">
        <v>574</v>
      </c>
      <c r="W42" s="745" t="s">
        <v>574</v>
      </c>
      <c r="X42" s="745"/>
      <c r="Y42" s="893"/>
      <c r="Z42" s="748" t="s">
        <v>575</v>
      </c>
      <c r="AA42" s="748" t="s">
        <v>575</v>
      </c>
      <c r="AB42" s="748" t="s">
        <v>575</v>
      </c>
      <c r="AC42" s="748" t="s">
        <v>575</v>
      </c>
      <c r="AD42" s="748"/>
    </row>
    <row r="43" spans="1:30" ht="18" customHeight="1">
      <c r="A43" s="747"/>
      <c r="B43" s="797">
        <v>26</v>
      </c>
      <c r="C43" s="745">
        <v>14</v>
      </c>
      <c r="D43" s="861"/>
      <c r="E43" s="745"/>
      <c r="F43" s="745"/>
      <c r="G43" s="745"/>
      <c r="H43" s="788"/>
      <c r="I43" s="897" t="str">
        <f t="shared" si="1"/>
        <v>2.11</v>
      </c>
      <c r="J43" s="897" t="str">
        <f t="shared" si="2"/>
        <v>Общехозяйственные расходы, в том числе:</v>
      </c>
      <c r="K43" s="897" t="str">
        <f t="shared" si="3"/>
        <v>Указывается общая сумма общехозяйственных расходов.</v>
      </c>
      <c r="L43" s="746" t="str">
        <f t="shared" si="4"/>
        <v>2.11</v>
      </c>
      <c r="M43" s="746" t="str">
        <f t="shared" si="5"/>
        <v>Общехозяйственные расходы, в том числе:</v>
      </c>
      <c r="N43" s="746" t="str">
        <f t="shared" si="6"/>
        <v>Указывается общая сумма общехозяйственных расходов.</v>
      </c>
      <c r="O43" s="851" t="s">
        <v>576</v>
      </c>
      <c r="P43" s="851" t="s">
        <v>560</v>
      </c>
      <c r="Q43" s="851" t="s">
        <v>576</v>
      </c>
      <c r="R43" s="851" t="s">
        <v>560</v>
      </c>
      <c r="S43" s="851"/>
      <c r="T43" s="745" t="s">
        <v>577</v>
      </c>
      <c r="U43" s="745" t="s">
        <v>577</v>
      </c>
      <c r="V43" s="745" t="s">
        <v>577</v>
      </c>
      <c r="W43" s="745" t="s">
        <v>577</v>
      </c>
      <c r="X43" s="745"/>
      <c r="Y43" s="893"/>
      <c r="Z43" s="748" t="s">
        <v>578</v>
      </c>
      <c r="AA43" s="748" t="s">
        <v>578</v>
      </c>
      <c r="AB43" s="748" t="s">
        <v>578</v>
      </c>
      <c r="AC43" s="748" t="s">
        <v>578</v>
      </c>
      <c r="AD43" s="748"/>
    </row>
    <row r="44" spans="1:30" ht="27" customHeight="1">
      <c r="A44" s="747"/>
      <c r="B44" s="797">
        <v>27</v>
      </c>
      <c r="C44" s="745" t="s">
        <v>579</v>
      </c>
      <c r="D44" s="861"/>
      <c r="E44" s="745"/>
      <c r="F44" s="745"/>
      <c r="G44" s="745"/>
      <c r="H44" s="788"/>
      <c r="I44" s="897" t="str">
        <f t="shared" si="1"/>
        <v>2.11.1</v>
      </c>
      <c r="J44" s="897" t="str">
        <f t="shared" si="2"/>
        <v>Расходы на текущий ремонт</v>
      </c>
      <c r="K44" s="897" t="str">
        <f t="shared" si="3"/>
        <v>Указываются расходы на текущий ремонт, отнесенные к общехозяйственным расходам.</v>
      </c>
      <c r="L44" s="746" t="str">
        <f t="shared" si="4"/>
        <v>2.11.1</v>
      </c>
      <c r="M44" s="746" t="str">
        <f t="shared" si="5"/>
        <v>Расходы на текущий ремонт</v>
      </c>
      <c r="N44" s="746" t="str">
        <f t="shared" si="6"/>
        <v>Указываются расходы на текущий ремонт, отнесенные к общехозяйственным расходам.</v>
      </c>
      <c r="O44" s="851" t="s">
        <v>580</v>
      </c>
      <c r="P44" s="851" t="s">
        <v>581</v>
      </c>
      <c r="Q44" s="851" t="s">
        <v>580</v>
      </c>
      <c r="R44" s="851" t="s">
        <v>581</v>
      </c>
      <c r="S44" s="851"/>
      <c r="T44" s="745" t="s">
        <v>570</v>
      </c>
      <c r="U44" s="745" t="s">
        <v>570</v>
      </c>
      <c r="V44" s="745" t="s">
        <v>570</v>
      </c>
      <c r="W44" s="745" t="s">
        <v>570</v>
      </c>
      <c r="X44" s="745"/>
      <c r="Y44" s="893"/>
      <c r="Z44" s="748" t="s">
        <v>582</v>
      </c>
      <c r="AA44" s="748" t="s">
        <v>582</v>
      </c>
      <c r="AB44" s="748" t="s">
        <v>582</v>
      </c>
      <c r="AC44" s="748" t="s">
        <v>582</v>
      </c>
      <c r="AD44" s="748"/>
    </row>
    <row r="45" spans="1:30" ht="27" customHeight="1">
      <c r="A45" s="747"/>
      <c r="B45" s="797">
        <v>28</v>
      </c>
      <c r="C45" s="745" t="s">
        <v>583</v>
      </c>
      <c r="D45" s="861"/>
      <c r="E45" s="745"/>
      <c r="F45" s="745"/>
      <c r="G45" s="745"/>
      <c r="H45" s="788"/>
      <c r="I45" s="897" t="str">
        <f t="shared" si="1"/>
        <v>2.11.2</v>
      </c>
      <c r="J45" s="897" t="str">
        <f t="shared" si="2"/>
        <v>Расходы на капитальный ремонт</v>
      </c>
      <c r="K45" s="897" t="str">
        <f t="shared" si="3"/>
        <v>Указываются расходы на капитальный ремонт, отнесенные к общехозяйственным расходам.</v>
      </c>
      <c r="L45" s="746" t="str">
        <f t="shared" si="4"/>
        <v>2.11.2</v>
      </c>
      <c r="M45" s="746" t="str">
        <f t="shared" si="5"/>
        <v>Расходы на капитальный ремонт</v>
      </c>
      <c r="N45" s="746" t="str">
        <f t="shared" si="6"/>
        <v>Указываются расходы на капитальный ремонт, отнесенные к общехозяйственным расходам.</v>
      </c>
      <c r="O45" s="851" t="s">
        <v>584</v>
      </c>
      <c r="P45" s="851" t="s">
        <v>585</v>
      </c>
      <c r="Q45" s="851" t="s">
        <v>584</v>
      </c>
      <c r="R45" s="851" t="s">
        <v>585</v>
      </c>
      <c r="S45" s="851"/>
      <c r="T45" s="745" t="s">
        <v>574</v>
      </c>
      <c r="U45" s="745" t="s">
        <v>574</v>
      </c>
      <c r="V45" s="745" t="s">
        <v>574</v>
      </c>
      <c r="W45" s="745" t="s">
        <v>574</v>
      </c>
      <c r="X45" s="745"/>
      <c r="Y45" s="893"/>
      <c r="Z45" s="748" t="s">
        <v>586</v>
      </c>
      <c r="AA45" s="748" t="s">
        <v>586</v>
      </c>
      <c r="AB45" s="748" t="s">
        <v>586</v>
      </c>
      <c r="AC45" s="748" t="s">
        <v>586</v>
      </c>
      <c r="AD45" s="748"/>
    </row>
    <row r="46" spans="1:30" ht="54" customHeight="1">
      <c r="A46" s="747"/>
      <c r="B46" s="797">
        <v>29</v>
      </c>
      <c r="C46" s="745">
        <v>15</v>
      </c>
      <c r="D46" s="861"/>
      <c r="E46" s="745"/>
      <c r="F46" s="745"/>
      <c r="G46" s="745"/>
      <c r="H46" s="788"/>
      <c r="I46" s="897" t="str">
        <f t="shared" si="1"/>
        <v>2.12</v>
      </c>
      <c r="J46" s="897" t="str">
        <f t="shared" si="2"/>
        <v>Расходы на капитальный и текущий ремонт основных средств</v>
      </c>
      <c r="K46" s="897" t="str">
        <f t="shared" si="3"/>
        <v>В том числе информацию об объемах товаров и услуг, их стоимости и о способах приобретения у тех организаций, сумма оплаты услуг которых превышает 20 процентов суммы расходов по указанной статье расходов</v>
      </c>
      <c r="L46" s="746" t="str">
        <f t="shared" si="4"/>
        <v>2.12</v>
      </c>
      <c r="M46" s="746" t="str">
        <f t="shared" si="5"/>
        <v>Расходы на капитальный и текущий ремонт основных средств</v>
      </c>
      <c r="N46" s="746" t="str">
        <f t="shared" si="6"/>
        <v>В том числе информацию об объемах товаров и услуг, их стоимости и о способах приобретения у тех организаций, сумма оплаты услуг которых превышает 20 процентов суммы расходов по указанной статье расходов</v>
      </c>
      <c r="O46" s="851" t="s">
        <v>587</v>
      </c>
      <c r="P46" s="851" t="s">
        <v>565</v>
      </c>
      <c r="Q46" s="851" t="s">
        <v>587</v>
      </c>
      <c r="R46" s="851" t="s">
        <v>565</v>
      </c>
      <c r="S46" s="851"/>
      <c r="T46" s="745" t="s">
        <v>588</v>
      </c>
      <c r="U46" s="745" t="s">
        <v>588</v>
      </c>
      <c r="V46" s="745" t="s">
        <v>588</v>
      </c>
      <c r="W46" s="745" t="s">
        <v>588</v>
      </c>
      <c r="X46" s="745"/>
      <c r="Y46" s="893"/>
      <c r="Z46" s="748" t="s">
        <v>589</v>
      </c>
      <c r="AA46" s="748" t="s">
        <v>590</v>
      </c>
      <c r="AB46" s="748" t="s">
        <v>590</v>
      </c>
      <c r="AC46" s="748" t="s">
        <v>590</v>
      </c>
      <c r="AD46" s="748"/>
    </row>
    <row r="47" spans="1:30" ht="54" customHeight="1">
      <c r="A47" s="747"/>
      <c r="B47" s="797">
        <v>30</v>
      </c>
      <c r="C47" s="745" t="s">
        <v>591</v>
      </c>
      <c r="D47" s="861"/>
      <c r="E47" s="745"/>
      <c r="F47" s="745"/>
      <c r="G47" s="745"/>
      <c r="H47" s="788"/>
      <c r="I47" s="897" t="str">
        <f t="shared" si="1"/>
        <v>2.12.1</v>
      </c>
      <c r="J47" s="897" t="str">
        <f t="shared" si="2"/>
        <v>Информация об объемах товаров и услуг, их стоимости и способах приобретения у тех организаций, сумма оплаты услуг которых превышает 20 процентов суммы расходов по указанной статье расходов</v>
      </c>
      <c r="K47" s="897">
        <f t="shared" si="3"/>
        <v>0</v>
      </c>
      <c r="L47" s="746" t="str">
        <f t="shared" si="4"/>
        <v>2.12.1</v>
      </c>
      <c r="M47" s="746" t="str">
        <f t="shared" si="5"/>
        <v>Информация об объемах товаров и услуг, их стоимости и способах приобретения у тех организаций, сумма оплаты услуг которых превышает 20 процентов суммы расходов по указанной статье расходов</v>
      </c>
      <c r="N47" s="746" t="str">
        <f t="shared" si="6"/>
        <v/>
      </c>
      <c r="O47" s="851" t="s">
        <v>592</v>
      </c>
      <c r="P47" s="851" t="s">
        <v>569</v>
      </c>
      <c r="Q47" s="851" t="s">
        <v>592</v>
      </c>
      <c r="R47" s="851" t="s">
        <v>569</v>
      </c>
      <c r="S47" s="851"/>
      <c r="T47" s="745" t="s">
        <v>593</v>
      </c>
      <c r="U47" s="745" t="s">
        <v>593</v>
      </c>
      <c r="V47" s="745" t="s">
        <v>593</v>
      </c>
      <c r="W47" s="745" t="s">
        <v>593</v>
      </c>
      <c r="X47" s="745"/>
      <c r="Y47" s="893"/>
      <c r="Z47" s="748"/>
      <c r="AA47" s="751"/>
      <c r="AB47" s="751"/>
      <c r="AC47" s="751"/>
      <c r="AD47" s="748"/>
    </row>
    <row r="48" spans="1:30" ht="54" customHeight="1">
      <c r="A48" s="747"/>
      <c r="B48" s="797">
        <v>31</v>
      </c>
      <c r="C48" s="745">
        <v>16</v>
      </c>
      <c r="D48" s="861"/>
      <c r="E48" s="745"/>
      <c r="F48" s="745"/>
      <c r="G48" s="745"/>
      <c r="H48" s="788"/>
      <c r="I48" s="897" t="str">
        <f t="shared" si="1"/>
        <v>2.13</v>
      </c>
      <c r="J48" s="897" t="str">
        <f t="shared" si="2"/>
        <v>Расходы на услуги производственного характера, оказываемые по договорам с организациями на проведение регламентных работ в рамках технологического процесса</v>
      </c>
      <c r="K48" s="897" t="str">
        <f t="shared" si="3"/>
        <v>В том числе информацию об объемах товаров и услуг, их стоимости и о способах приобретения у тех организаций, сумма оплаты услуг которых превышает 20 процентов суммы расходов по указанной статье расходов</v>
      </c>
      <c r="L48" s="746" t="str">
        <f t="shared" si="4"/>
        <v>2.13</v>
      </c>
      <c r="M48" s="746" t="str">
        <f t="shared" si="5"/>
        <v>Расходы на услуги производственного характера, оказываемые по договорам с организациями на проведение регламентных работ в рамках технологического процесса</v>
      </c>
      <c r="N48" s="746" t="str">
        <f t="shared" si="6"/>
        <v>В том числе информацию об объемах товаров и услуг, их стоимости и о способах приобретения у тех организаций, сумма оплаты услуг которых превышает 20 процентов суммы расходов по указанной статье расходов</v>
      </c>
      <c r="O48" s="851"/>
      <c r="P48" s="851" t="s">
        <v>576</v>
      </c>
      <c r="Q48" s="851" t="s">
        <v>594</v>
      </c>
      <c r="R48" s="851" t="s">
        <v>576</v>
      </c>
      <c r="S48" s="851"/>
      <c r="T48" s="745"/>
      <c r="U48" s="745" t="s">
        <v>595</v>
      </c>
      <c r="V48" s="745" t="s">
        <v>596</v>
      </c>
      <c r="W48" s="745" t="s">
        <v>596</v>
      </c>
      <c r="X48" s="745"/>
      <c r="Y48" s="893"/>
      <c r="Z48" s="748"/>
      <c r="AA48" s="751" t="s">
        <v>590</v>
      </c>
      <c r="AB48" s="751" t="s">
        <v>590</v>
      </c>
      <c r="AC48" s="751" t="s">
        <v>590</v>
      </c>
      <c r="AD48" s="748"/>
    </row>
    <row r="49" spans="1:30" ht="54" customHeight="1">
      <c r="A49" s="747"/>
      <c r="B49" s="797">
        <v>32</v>
      </c>
      <c r="C49" s="745" t="s">
        <v>597</v>
      </c>
      <c r="D49" s="861"/>
      <c r="E49" s="745"/>
      <c r="F49" s="745"/>
      <c r="G49" s="745"/>
      <c r="H49" s="788"/>
      <c r="I49" s="897" t="str">
        <f t="shared" si="1"/>
        <v>2.13.1</v>
      </c>
      <c r="J49" s="897" t="str">
        <f t="shared" si="2"/>
        <v>Информация об объемах товаров и услуг, их стоимости и способах приобретения у тех организаций, сумма оплаты услуг которых превышает 20 процентов суммы расходов по указанной статье расходов</v>
      </c>
      <c r="K49" s="897">
        <f t="shared" si="3"/>
        <v>0</v>
      </c>
      <c r="L49" s="746" t="str">
        <f t="shared" si="4"/>
        <v>2.13.1</v>
      </c>
      <c r="M49" s="746" t="str">
        <f t="shared" si="5"/>
        <v>Информация об объемах товаров и услуг, их стоимости и способах приобретения у тех организаций, сумма оплаты услуг которых превышает 20 процентов суммы расходов по указанной статье расходов</v>
      </c>
      <c r="N49" s="746" t="str">
        <f t="shared" si="6"/>
        <v/>
      </c>
      <c r="O49" s="851"/>
      <c r="P49" s="851" t="s">
        <v>580</v>
      </c>
      <c r="Q49" s="851" t="s">
        <v>598</v>
      </c>
      <c r="R49" s="851" t="s">
        <v>580</v>
      </c>
      <c r="S49" s="851"/>
      <c r="T49" s="745"/>
      <c r="U49" s="745" t="s">
        <v>593</v>
      </c>
      <c r="V49" s="745" t="s">
        <v>593</v>
      </c>
      <c r="W49" s="745" t="s">
        <v>593</v>
      </c>
      <c r="X49" s="745"/>
      <c r="Y49" s="893"/>
      <c r="Z49" s="748"/>
      <c r="AA49" s="751"/>
      <c r="AB49" s="751"/>
      <c r="AC49" s="751"/>
      <c r="AD49" s="748"/>
    </row>
    <row r="50" spans="1:30" ht="126" customHeight="1">
      <c r="A50" s="747"/>
      <c r="B50" s="797">
        <v>33</v>
      </c>
      <c r="C50" s="745">
        <v>17</v>
      </c>
      <c r="D50" s="861"/>
      <c r="E50" s="745"/>
      <c r="F50" s="745"/>
      <c r="G50" s="745"/>
      <c r="H50" s="788"/>
      <c r="I50" s="897" t="str">
        <f t="shared" ref="I50:I81" si="7">INDEX(TEMPLATE_NUMBER_POINT_FHD,B50,MATCH(TEMPLATE_SPHERE,TEMPLATE_SPHERE_LIST_FOR_NOTE,0))</f>
        <v>2.14</v>
      </c>
      <c r="J50" s="897" t="str">
        <f t="shared" ref="J50:J81" si="8">INDEX(TEMPLATE_DATA_POINT_FHD,B50,MATCH(TEMPLATE_SPHERE,TEMPLATE_SPHERE_LIST_FOR_NOTE,0))</f>
        <v>Прочие расходы, которые отнесены на регулируемые виды деятельности в сфере горячего водоснабжения, в соответствии с Основами ценообразования в сфере водоснабжения и водоотведения</v>
      </c>
      <c r="K50" s="897" t="str">
        <f t="shared" ref="K50:K81" si="9">INDEX(TEMPLATE_NOTE_POINT_FHD,B50,MATCH(TEMPLATE_SPHERE,TEMPLATE_SPHERE_LIST_FOR_NOTE,0))</f>
        <v>Указывается общая сумма прочих расходов, которые подлежат отнесению на регулируемые виды деятельности в соответствии с основами ценообразования в сфере водоснабжения и водоотведения.</v>
      </c>
      <c r="L50" s="746" t="str">
        <f t="shared" ref="L50:L81" si="10">IF(I50=0,"",I50)</f>
        <v>2.14</v>
      </c>
      <c r="M50" s="746" t="str">
        <f t="shared" ref="M50:M81" si="11">IF(J50=0,"",J50)</f>
        <v>Прочие расходы, которые отнесены на регулируемые виды деятельности в сфере горячего водоснабжения, в соответствии с Основами ценообразования в сфере водоснабжения и водоотведения</v>
      </c>
      <c r="N50" s="746" t="str">
        <f t="shared" ref="N50:N81" si="12">IF(K50=0,"",K50)</f>
        <v>Указывается общая сумма прочих расходов, которые подлежат отнесению на регулируемые виды деятельности в соответствии с основами ценообразования в сфере водоснабжения и водоотведения.</v>
      </c>
      <c r="O50" s="851" t="s">
        <v>594</v>
      </c>
      <c r="P50" s="851" t="s">
        <v>587</v>
      </c>
      <c r="Q50" s="851" t="s">
        <v>599</v>
      </c>
      <c r="R50" s="851" t="s">
        <v>587</v>
      </c>
      <c r="S50" s="851"/>
      <c r="T50" s="745" t="s">
        <v>600</v>
      </c>
      <c r="U50" s="745" t="s">
        <v>601</v>
      </c>
      <c r="V50" s="745" t="s">
        <v>602</v>
      </c>
      <c r="W50" s="745" t="s">
        <v>603</v>
      </c>
      <c r="X50" s="745"/>
      <c r="Y50" s="893"/>
      <c r="Z50" s="748" t="s">
        <v>604</v>
      </c>
      <c r="AA50" s="751" t="s">
        <v>605</v>
      </c>
      <c r="AB50" s="751" t="s">
        <v>605</v>
      </c>
      <c r="AC50" s="751" t="s">
        <v>605</v>
      </c>
      <c r="AD50" s="748"/>
    </row>
    <row r="51" spans="1:30" ht="27" customHeight="1">
      <c r="A51" s="747"/>
      <c r="B51" s="797">
        <v>34</v>
      </c>
      <c r="C51" s="745" t="s">
        <v>606</v>
      </c>
      <c r="D51" s="861"/>
      <c r="E51" s="745"/>
      <c r="F51" s="745"/>
      <c r="G51" s="745"/>
      <c r="H51" s="788"/>
      <c r="I51" s="897">
        <f t="shared" si="7"/>
        <v>0</v>
      </c>
      <c r="J51" s="897">
        <f t="shared" si="8"/>
        <v>0</v>
      </c>
      <c r="K51" s="897">
        <f t="shared" si="9"/>
        <v>0</v>
      </c>
      <c r="L51" s="746" t="str">
        <f t="shared" si="10"/>
        <v/>
      </c>
      <c r="M51" s="746" t="str">
        <f t="shared" si="11"/>
        <v/>
      </c>
      <c r="N51" s="746" t="str">
        <f t="shared" si="12"/>
        <v/>
      </c>
      <c r="O51" s="851" t="s">
        <v>89</v>
      </c>
      <c r="P51" s="851"/>
      <c r="Q51" s="851"/>
      <c r="R51" s="851"/>
      <c r="S51" s="851"/>
      <c r="T51" s="745" t="s">
        <v>607</v>
      </c>
      <c r="U51" s="745"/>
      <c r="V51" s="745"/>
      <c r="W51" s="745"/>
      <c r="X51" s="745"/>
      <c r="Y51" s="893"/>
      <c r="Z51" s="748"/>
      <c r="AA51" s="751"/>
      <c r="AB51" s="751"/>
      <c r="AC51" s="751"/>
      <c r="AD51" s="748"/>
    </row>
    <row r="52" spans="1:30" ht="36" customHeight="1">
      <c r="A52" s="747"/>
      <c r="B52" s="797">
        <v>35</v>
      </c>
      <c r="C52" s="745" t="s">
        <v>484</v>
      </c>
      <c r="D52" s="861" t="s">
        <v>484</v>
      </c>
      <c r="E52" s="745" t="s">
        <v>484</v>
      </c>
      <c r="F52" s="745" t="s">
        <v>484</v>
      </c>
      <c r="G52" s="745"/>
      <c r="H52" s="788"/>
      <c r="I52" s="897" t="str">
        <f t="shared" si="7"/>
        <v>3</v>
      </c>
      <c r="J52" s="897" t="str">
        <f t="shared" si="8"/>
        <v>Чистая прибыль, полученная от регулируемого вида деятельности в сфере горячего водоснабжения, в том числе:</v>
      </c>
      <c r="K52" s="897" t="str">
        <f t="shared" si="9"/>
        <v>Указывается общая сумма чистой прибыли, полученной от регулируемого вида деятельности.</v>
      </c>
      <c r="L52" s="746" t="str">
        <f t="shared" si="10"/>
        <v>3</v>
      </c>
      <c r="M52" s="746" t="str">
        <f t="shared" si="11"/>
        <v>Чистая прибыль, полученная от регулируемого вида деятельности в сфере горячего водоснабжения, в том числе:</v>
      </c>
      <c r="N52" s="746" t="str">
        <f t="shared" si="12"/>
        <v>Указывается общая сумма чистой прибыли, полученной от регулируемого вида деятельности.</v>
      </c>
      <c r="O52" s="851" t="s">
        <v>90</v>
      </c>
      <c r="P52" s="851" t="s">
        <v>89</v>
      </c>
      <c r="Q52" s="851" t="s">
        <v>89</v>
      </c>
      <c r="R52" s="851" t="s">
        <v>89</v>
      </c>
      <c r="S52" s="851"/>
      <c r="T52" s="745" t="s">
        <v>608</v>
      </c>
      <c r="U52" s="745" t="s">
        <v>609</v>
      </c>
      <c r="V52" s="745" t="s">
        <v>610</v>
      </c>
      <c r="W52" s="745" t="s">
        <v>611</v>
      </c>
      <c r="X52" s="745"/>
      <c r="Y52" s="893"/>
      <c r="Z52" s="748" t="s">
        <v>612</v>
      </c>
      <c r="AA52" s="751" t="s">
        <v>612</v>
      </c>
      <c r="AB52" s="751" t="s">
        <v>612</v>
      </c>
      <c r="AC52" s="751" t="s">
        <v>612</v>
      </c>
      <c r="AD52" s="748"/>
    </row>
    <row r="53" spans="1:30" ht="36" customHeight="1">
      <c r="A53" s="747"/>
      <c r="B53" s="797">
        <v>36</v>
      </c>
      <c r="C53" s="745">
        <v>1</v>
      </c>
      <c r="D53" s="861"/>
      <c r="E53" s="745"/>
      <c r="F53" s="745"/>
      <c r="G53" s="745"/>
      <c r="H53" s="788"/>
      <c r="I53" s="897" t="str">
        <f t="shared" si="7"/>
        <v>3.1</v>
      </c>
      <c r="J53" s="897" t="str">
        <f t="shared" si="8"/>
        <v>Размер расходования чистой прибыли на финансирование мероприятий, предусмотренных инвестиционной программой регулируемой организации</v>
      </c>
      <c r="K53" s="897">
        <f t="shared" si="9"/>
        <v>0</v>
      </c>
      <c r="L53" s="746" t="str">
        <f t="shared" si="10"/>
        <v>3.1</v>
      </c>
      <c r="M53" s="746" t="str">
        <f t="shared" si="11"/>
        <v>Размер расходования чистой прибыли на финансирование мероприятий, предусмотренных инвестиционной программой регулируемой организации</v>
      </c>
      <c r="N53" s="746" t="str">
        <f t="shared" si="12"/>
        <v/>
      </c>
      <c r="O53" s="851" t="s">
        <v>613</v>
      </c>
      <c r="P53" s="851" t="s">
        <v>318</v>
      </c>
      <c r="Q53" s="851" t="s">
        <v>318</v>
      </c>
      <c r="R53" s="851" t="s">
        <v>318</v>
      </c>
      <c r="S53" s="851"/>
      <c r="T53" s="745" t="s">
        <v>614</v>
      </c>
      <c r="U53" s="745" t="s">
        <v>614</v>
      </c>
      <c r="V53" s="745" t="s">
        <v>614</v>
      </c>
      <c r="W53" s="745" t="s">
        <v>614</v>
      </c>
      <c r="X53" s="745"/>
      <c r="Y53" s="893"/>
      <c r="Z53" s="748"/>
      <c r="AA53" s="751"/>
      <c r="AB53" s="748"/>
      <c r="AC53" s="748"/>
      <c r="AD53" s="748"/>
    </row>
    <row r="54" spans="1:30" ht="18" customHeight="1">
      <c r="A54" s="747"/>
      <c r="B54" s="797">
        <v>37</v>
      </c>
      <c r="C54" s="745" t="s">
        <v>490</v>
      </c>
      <c r="D54" s="861" t="s">
        <v>490</v>
      </c>
      <c r="E54" s="745" t="s">
        <v>490</v>
      </c>
      <c r="F54" s="745" t="s">
        <v>490</v>
      </c>
      <c r="G54" s="745"/>
      <c r="H54" s="788"/>
      <c r="I54" s="897" t="str">
        <f t="shared" si="7"/>
        <v>4</v>
      </c>
      <c r="J54" s="897" t="str">
        <f t="shared" si="8"/>
        <v>Изменение стоимости основных фондов, в том числе:</v>
      </c>
      <c r="K54" s="897" t="str">
        <f t="shared" si="9"/>
        <v>Указывается общее изменение стоимости основных фондов.</v>
      </c>
      <c r="L54" s="746" t="str">
        <f t="shared" si="10"/>
        <v>4</v>
      </c>
      <c r="M54" s="746" t="str">
        <f t="shared" si="11"/>
        <v>Изменение стоимости основных фондов, в том числе:</v>
      </c>
      <c r="N54" s="746" t="str">
        <f t="shared" si="12"/>
        <v>Указывается общее изменение стоимости основных фондов.</v>
      </c>
      <c r="O54" s="851" t="s">
        <v>110</v>
      </c>
      <c r="P54" s="851" t="s">
        <v>90</v>
      </c>
      <c r="Q54" s="851" t="s">
        <v>90</v>
      </c>
      <c r="R54" s="851" t="s">
        <v>90</v>
      </c>
      <c r="S54" s="851"/>
      <c r="T54" s="745" t="s">
        <v>615</v>
      </c>
      <c r="U54" s="745" t="s">
        <v>615</v>
      </c>
      <c r="V54" s="745" t="s">
        <v>615</v>
      </c>
      <c r="W54" s="745" t="s">
        <v>615</v>
      </c>
      <c r="X54" s="745"/>
      <c r="Y54" s="893"/>
      <c r="Z54" s="748" t="s">
        <v>616</v>
      </c>
      <c r="AA54" s="748" t="s">
        <v>616</v>
      </c>
      <c r="AB54" s="748" t="s">
        <v>616</v>
      </c>
      <c r="AC54" s="748" t="s">
        <v>616</v>
      </c>
      <c r="AD54" s="748"/>
    </row>
    <row r="55" spans="1:30" ht="36" customHeight="1">
      <c r="A55" s="747"/>
      <c r="B55" s="797">
        <v>38</v>
      </c>
      <c r="C55" s="745">
        <v>1</v>
      </c>
      <c r="D55" s="861"/>
      <c r="E55" s="745"/>
      <c r="F55" s="745"/>
      <c r="G55" s="745"/>
      <c r="H55" s="788"/>
      <c r="I55" s="897" t="str">
        <f t="shared" si="7"/>
        <v>4.1</v>
      </c>
      <c r="J55" s="897" t="str">
        <f t="shared" si="8"/>
        <v>Изменение стоимости основных фондов за счет их ввода в эксплуатацию (вывода из эксплуатации)</v>
      </c>
      <c r="K55" s="897" t="str">
        <f t="shared" si="9"/>
        <v>Указываются общее изменение стоимости основных фондов за счет их ввода в эксплуатацию и вывода из эксплуатации.</v>
      </c>
      <c r="L55" s="746" t="str">
        <f t="shared" si="10"/>
        <v>4.1</v>
      </c>
      <c r="M55" s="746" t="str">
        <f t="shared" si="11"/>
        <v>Изменение стоимости основных фондов за счет их ввода в эксплуатацию (вывода из эксплуатации)</v>
      </c>
      <c r="N55" s="746" t="str">
        <f t="shared" si="12"/>
        <v>Указываются общее изменение стоимости основных фондов за счет их ввода в эксплуатацию и вывода из эксплуатации.</v>
      </c>
      <c r="O55" s="851" t="s">
        <v>307</v>
      </c>
      <c r="P55" s="851" t="s">
        <v>613</v>
      </c>
      <c r="Q55" s="851" t="s">
        <v>613</v>
      </c>
      <c r="R55" s="851" t="s">
        <v>613</v>
      </c>
      <c r="S55" s="851"/>
      <c r="T55" s="745" t="s">
        <v>617</v>
      </c>
      <c r="U55" s="745" t="s">
        <v>618</v>
      </c>
      <c r="V55" s="745" t="s">
        <v>618</v>
      </c>
      <c r="W55" s="745" t="s">
        <v>618</v>
      </c>
      <c r="X55" s="745"/>
      <c r="Y55" s="893"/>
      <c r="Z55" s="748" t="s">
        <v>619</v>
      </c>
      <c r="AA55" s="748" t="s">
        <v>619</v>
      </c>
      <c r="AB55" s="748" t="s">
        <v>619</v>
      </c>
      <c r="AC55" s="748" t="s">
        <v>619</v>
      </c>
      <c r="AD55" s="748"/>
    </row>
    <row r="56" spans="1:30" ht="27" customHeight="1">
      <c r="A56" s="747"/>
      <c r="B56" s="797">
        <v>39</v>
      </c>
      <c r="C56" s="745" t="s">
        <v>620</v>
      </c>
      <c r="D56" s="861"/>
      <c r="E56" s="745"/>
      <c r="F56" s="745"/>
      <c r="G56" s="745"/>
      <c r="H56" s="788"/>
      <c r="I56" s="897" t="str">
        <f t="shared" si="7"/>
        <v>4.1.1</v>
      </c>
      <c r="J56" s="897" t="str">
        <f t="shared" si="8"/>
        <v>Изменение стоимости основных фондов за счет их ввода в эксплуатацию</v>
      </c>
      <c r="K56" s="897" t="str">
        <f t="shared" si="9"/>
        <v>Указываются изменение стоимости основных фондов за счет их ввода в эксплуатацию.</v>
      </c>
      <c r="L56" s="746" t="str">
        <f t="shared" si="10"/>
        <v>4.1.1</v>
      </c>
      <c r="M56" s="746" t="str">
        <f t="shared" si="11"/>
        <v>Изменение стоимости основных фондов за счет их ввода в эксплуатацию</v>
      </c>
      <c r="N56" s="746" t="str">
        <f t="shared" si="12"/>
        <v>Указываются изменение стоимости основных фондов за счет их ввода в эксплуатацию.</v>
      </c>
      <c r="O56" s="851" t="s">
        <v>621</v>
      </c>
      <c r="P56" s="851" t="s">
        <v>622</v>
      </c>
      <c r="Q56" s="851" t="s">
        <v>622</v>
      </c>
      <c r="R56" s="851" t="s">
        <v>622</v>
      </c>
      <c r="S56" s="851"/>
      <c r="T56" s="745" t="s">
        <v>623</v>
      </c>
      <c r="U56" s="745" t="s">
        <v>624</v>
      </c>
      <c r="V56" s="745" t="s">
        <v>624</v>
      </c>
      <c r="W56" s="745" t="s">
        <v>624</v>
      </c>
      <c r="X56" s="745"/>
      <c r="Y56" s="893"/>
      <c r="Z56" s="748" t="s">
        <v>625</v>
      </c>
      <c r="AA56" s="748" t="s">
        <v>625</v>
      </c>
      <c r="AB56" s="748" t="s">
        <v>625</v>
      </c>
      <c r="AC56" s="748" t="s">
        <v>625</v>
      </c>
      <c r="AD56" s="748"/>
    </row>
    <row r="57" spans="1:30" ht="27" customHeight="1">
      <c r="A57" s="747"/>
      <c r="B57" s="797">
        <v>40</v>
      </c>
      <c r="C57" s="745" t="s">
        <v>626</v>
      </c>
      <c r="D57" s="861"/>
      <c r="E57" s="745"/>
      <c r="F57" s="745"/>
      <c r="G57" s="745"/>
      <c r="H57" s="788"/>
      <c r="I57" s="897" t="str">
        <f t="shared" si="7"/>
        <v>4.1.2</v>
      </c>
      <c r="J57" s="897" t="str">
        <f t="shared" si="8"/>
        <v>Изменение стоимости основных фондов за счет их вывода в эксплуатацию</v>
      </c>
      <c r="K57" s="897" t="str">
        <f t="shared" si="9"/>
        <v>Указываются изменение стоимости основных фондов за счет их вывода из эксплуатации.</v>
      </c>
      <c r="L57" s="746" t="str">
        <f t="shared" si="10"/>
        <v>4.1.2</v>
      </c>
      <c r="M57" s="746" t="str">
        <f t="shared" si="11"/>
        <v>Изменение стоимости основных фондов за счет их вывода в эксплуатацию</v>
      </c>
      <c r="N57" s="746" t="str">
        <f t="shared" si="12"/>
        <v>Указываются изменение стоимости основных фондов за счет их вывода из эксплуатации.</v>
      </c>
      <c r="O57" s="851" t="s">
        <v>627</v>
      </c>
      <c r="P57" s="851" t="s">
        <v>628</v>
      </c>
      <c r="Q57" s="851" t="s">
        <v>628</v>
      </c>
      <c r="R57" s="851" t="s">
        <v>628</v>
      </c>
      <c r="S57" s="851"/>
      <c r="T57" s="745" t="s">
        <v>629</v>
      </c>
      <c r="U57" s="745" t="s">
        <v>630</v>
      </c>
      <c r="V57" s="745" t="s">
        <v>630</v>
      </c>
      <c r="W57" s="745" t="s">
        <v>630</v>
      </c>
      <c r="X57" s="745"/>
      <c r="Y57" s="893"/>
      <c r="Z57" s="748" t="s">
        <v>631</v>
      </c>
      <c r="AA57" s="748" t="s">
        <v>631</v>
      </c>
      <c r="AB57" s="748" t="s">
        <v>631</v>
      </c>
      <c r="AC57" s="748" t="s">
        <v>631</v>
      </c>
      <c r="AD57" s="748"/>
    </row>
    <row r="58" spans="1:30" ht="18" customHeight="1">
      <c r="A58" s="747"/>
      <c r="B58" s="797">
        <v>41</v>
      </c>
      <c r="C58" s="745">
        <v>2</v>
      </c>
      <c r="D58" s="861"/>
      <c r="E58" s="745"/>
      <c r="F58" s="745"/>
      <c r="G58" s="745"/>
      <c r="H58" s="788"/>
      <c r="I58" s="897" t="str">
        <f t="shared" si="7"/>
        <v>4.2</v>
      </c>
      <c r="J58" s="897" t="str">
        <f t="shared" si="8"/>
        <v>Изменение стоимости основных фондов за счет их переоценки</v>
      </c>
      <c r="K58" s="897">
        <f t="shared" si="9"/>
        <v>0</v>
      </c>
      <c r="L58" s="746" t="str">
        <f t="shared" si="10"/>
        <v>4.2</v>
      </c>
      <c r="M58" s="746" t="str">
        <f t="shared" si="11"/>
        <v>Изменение стоимости основных фондов за счет их переоценки</v>
      </c>
      <c r="N58" s="746" t="str">
        <f t="shared" si="12"/>
        <v/>
      </c>
      <c r="O58" s="851" t="s">
        <v>309</v>
      </c>
      <c r="P58" s="851" t="s">
        <v>632</v>
      </c>
      <c r="Q58" s="851" t="s">
        <v>632</v>
      </c>
      <c r="R58" s="851" t="s">
        <v>632</v>
      </c>
      <c r="S58" s="851"/>
      <c r="T58" s="745" t="s">
        <v>633</v>
      </c>
      <c r="U58" s="745" t="s">
        <v>633</v>
      </c>
      <c r="V58" s="745" t="s">
        <v>633</v>
      </c>
      <c r="W58" s="745" t="s">
        <v>633</v>
      </c>
      <c r="X58" s="745"/>
      <c r="Y58" s="893"/>
      <c r="Z58" s="748"/>
      <c r="AA58" s="751"/>
      <c r="AB58" s="748"/>
      <c r="AC58" s="748"/>
      <c r="AD58" s="748"/>
    </row>
    <row r="59" spans="1:30" ht="36" customHeight="1">
      <c r="A59" s="747"/>
      <c r="B59" s="797">
        <v>42</v>
      </c>
      <c r="C59" s="745">
        <v>3</v>
      </c>
      <c r="D59" s="861" t="s">
        <v>606</v>
      </c>
      <c r="E59" s="745" t="s">
        <v>606</v>
      </c>
      <c r="F59" s="745" t="s">
        <v>606</v>
      </c>
      <c r="G59" s="745"/>
      <c r="H59" s="788"/>
      <c r="I59" s="897" t="str">
        <f t="shared" si="7"/>
        <v>5</v>
      </c>
      <c r="J59" s="897" t="str">
        <f t="shared" si="8"/>
        <v>Валовая прибыль (убытки) от продажи товаров и услуг по регулируемым видам деятельности в сфере горячего водоснабжения</v>
      </c>
      <c r="K59" s="897">
        <f t="shared" si="9"/>
        <v>0</v>
      </c>
      <c r="L59" s="746" t="str">
        <f t="shared" si="10"/>
        <v>5</v>
      </c>
      <c r="M59" s="746" t="str">
        <f t="shared" si="11"/>
        <v>Валовая прибыль (убытки) от продажи товаров и услуг по регулируемым видам деятельности в сфере горячего водоснабжения</v>
      </c>
      <c r="N59" s="746" t="str">
        <f t="shared" si="12"/>
        <v/>
      </c>
      <c r="O59" s="851"/>
      <c r="P59" s="851" t="s">
        <v>110</v>
      </c>
      <c r="Q59" s="851" t="s">
        <v>110</v>
      </c>
      <c r="R59" s="851" t="s">
        <v>110</v>
      </c>
      <c r="S59" s="851"/>
      <c r="T59" s="745"/>
      <c r="U59" s="745" t="s">
        <v>634</v>
      </c>
      <c r="V59" s="745" t="s">
        <v>635</v>
      </c>
      <c r="W59" s="745" t="s">
        <v>636</v>
      </c>
      <c r="X59" s="745"/>
      <c r="Y59" s="893"/>
      <c r="Z59" s="748"/>
      <c r="AA59" s="751"/>
      <c r="AB59" s="748"/>
      <c r="AC59" s="748"/>
      <c r="AD59" s="748"/>
    </row>
    <row r="60" spans="1:30" ht="81" customHeight="1">
      <c r="A60" s="747"/>
      <c r="B60" s="797">
        <v>43</v>
      </c>
      <c r="C60" s="745" t="s">
        <v>637</v>
      </c>
      <c r="D60" s="861" t="s">
        <v>637</v>
      </c>
      <c r="E60" s="745" t="s">
        <v>637</v>
      </c>
      <c r="F60" s="745" t="s">
        <v>637</v>
      </c>
      <c r="G60" s="745"/>
      <c r="H60" s="788"/>
      <c r="I60" s="897" t="str">
        <f t="shared" si="7"/>
        <v>6</v>
      </c>
      <c r="J60" s="897" t="str">
        <f t="shared" si="8"/>
        <v>Годовая бухгалтерская (финансовая) отчетность, включая бухгалтерский баланс и приложения к нему</v>
      </c>
      <c r="K60" s="897" t="str">
        <f t="shared" si="9"/>
        <v>Указывается ссылка на документ, предварительно загруженный в хранилище файлов ФГИС ЕИАС._x000D_
Раскрывается регулируемой организацией, выручка от регулируемых видов деятельности в сфере водоотведения и (или) водоотведения которой превышает 80 процентов совокупной выручки за отчетный год.</v>
      </c>
      <c r="L60" s="746" t="str">
        <f t="shared" si="10"/>
        <v>6</v>
      </c>
      <c r="M60" s="746" t="str">
        <f t="shared" si="11"/>
        <v>Годовая бухгалтерская (финансовая) отчетность, включая бухгалтерский баланс и приложения к нему</v>
      </c>
      <c r="N60" s="746" t="str">
        <f t="shared" si="12"/>
        <v>Указывается ссылка на документ, предварительно загруженный в хранилище файлов ФГИС ЕИАС._x000D_
Раскрывается регулируемой организацией, выручка от регулируемых видов деятельности в сфере водоотведения и (или) водоотведения которой превышает 80 процентов совокупной выручки за отчетный год.</v>
      </c>
      <c r="O60" s="851" t="s">
        <v>91</v>
      </c>
      <c r="P60" s="851" t="s">
        <v>91</v>
      </c>
      <c r="Q60" s="851" t="s">
        <v>91</v>
      </c>
      <c r="R60" s="851" t="s">
        <v>91</v>
      </c>
      <c r="S60" s="851"/>
      <c r="T60" s="745" t="s">
        <v>638</v>
      </c>
      <c r="U60" s="745" t="s">
        <v>638</v>
      </c>
      <c r="V60" s="745" t="s">
        <v>638</v>
      </c>
      <c r="W60" s="745" t="s">
        <v>638</v>
      </c>
      <c r="X60" s="745"/>
      <c r="Y60" s="893"/>
      <c r="Z60" s="748" t="s">
        <v>639</v>
      </c>
      <c r="AA60" s="751" t="s">
        <v>640</v>
      </c>
      <c r="AB60" s="748" t="s">
        <v>641</v>
      </c>
      <c r="AC60" s="748" t="s">
        <v>640</v>
      </c>
      <c r="AD60" s="748"/>
    </row>
    <row r="61" spans="1:30" ht="9" customHeight="1">
      <c r="A61" s="747"/>
      <c r="B61" s="797">
        <v>44</v>
      </c>
      <c r="C61" s="745"/>
      <c r="D61" s="861" t="s">
        <v>642</v>
      </c>
      <c r="E61" s="745"/>
      <c r="F61" s="745"/>
      <c r="G61" s="745"/>
      <c r="H61" s="788"/>
      <c r="I61" s="897">
        <f t="shared" si="7"/>
        <v>0</v>
      </c>
      <c r="J61" s="897">
        <f t="shared" si="8"/>
        <v>0</v>
      </c>
      <c r="K61" s="897">
        <f t="shared" si="9"/>
        <v>0</v>
      </c>
      <c r="L61" s="746" t="str">
        <f t="shared" si="10"/>
        <v/>
      </c>
      <c r="M61" s="746" t="str">
        <f t="shared" si="11"/>
        <v/>
      </c>
      <c r="N61" s="746" t="str">
        <f t="shared" si="12"/>
        <v/>
      </c>
      <c r="O61" s="851"/>
      <c r="P61" s="851" t="s">
        <v>92</v>
      </c>
      <c r="Q61" s="851"/>
      <c r="R61" s="851"/>
      <c r="S61" s="851"/>
      <c r="T61" s="745"/>
      <c r="U61" s="745" t="s">
        <v>643</v>
      </c>
      <c r="V61" s="745"/>
      <c r="W61" s="745"/>
      <c r="X61" s="745"/>
      <c r="Y61" s="893"/>
      <c r="Z61" s="748"/>
      <c r="AA61" s="751"/>
      <c r="AB61" s="748"/>
      <c r="AC61" s="748"/>
      <c r="AD61" s="748"/>
    </row>
    <row r="62" spans="1:30" ht="9" customHeight="1">
      <c r="A62" s="747"/>
      <c r="B62" s="797">
        <v>45</v>
      </c>
      <c r="C62" s="745"/>
      <c r="D62" s="861" t="s">
        <v>644</v>
      </c>
      <c r="E62" s="745"/>
      <c r="F62" s="745"/>
      <c r="G62" s="745"/>
      <c r="H62" s="788"/>
      <c r="I62" s="897">
        <f t="shared" si="7"/>
        <v>0</v>
      </c>
      <c r="J62" s="897">
        <f t="shared" si="8"/>
        <v>0</v>
      </c>
      <c r="K62" s="897">
        <f t="shared" si="9"/>
        <v>0</v>
      </c>
      <c r="L62" s="746" t="str">
        <f t="shared" si="10"/>
        <v/>
      </c>
      <c r="M62" s="746" t="str">
        <f t="shared" si="11"/>
        <v/>
      </c>
      <c r="N62" s="746" t="str">
        <f t="shared" si="12"/>
        <v/>
      </c>
      <c r="O62" s="851"/>
      <c r="P62" s="851" t="s">
        <v>111</v>
      </c>
      <c r="Q62" s="851"/>
      <c r="R62" s="851"/>
      <c r="S62" s="851"/>
      <c r="T62" s="745"/>
      <c r="U62" s="745" t="s">
        <v>645</v>
      </c>
      <c r="V62" s="745"/>
      <c r="W62" s="745"/>
      <c r="X62" s="745"/>
      <c r="Y62" s="893"/>
      <c r="Z62" s="748"/>
      <c r="AA62" s="751"/>
      <c r="AB62" s="748"/>
      <c r="AC62" s="748"/>
      <c r="AD62" s="748"/>
    </row>
    <row r="63" spans="1:30" ht="18" customHeight="1">
      <c r="A63" s="747"/>
      <c r="B63" s="797">
        <v>46</v>
      </c>
      <c r="C63" s="745"/>
      <c r="D63" s="861" t="s">
        <v>646</v>
      </c>
      <c r="E63" s="745"/>
      <c r="F63" s="745"/>
      <c r="G63" s="745"/>
      <c r="H63" s="788"/>
      <c r="I63" s="897">
        <f t="shared" si="7"/>
        <v>0</v>
      </c>
      <c r="J63" s="897">
        <f t="shared" si="8"/>
        <v>0</v>
      </c>
      <c r="K63" s="897">
        <f t="shared" si="9"/>
        <v>0</v>
      </c>
      <c r="L63" s="746" t="str">
        <f t="shared" si="10"/>
        <v/>
      </c>
      <c r="M63" s="746" t="str">
        <f t="shared" si="11"/>
        <v/>
      </c>
      <c r="N63" s="746" t="str">
        <f t="shared" si="12"/>
        <v/>
      </c>
      <c r="O63" s="851"/>
      <c r="P63" s="851" t="s">
        <v>149</v>
      </c>
      <c r="Q63" s="851"/>
      <c r="R63" s="851"/>
      <c r="S63" s="851"/>
      <c r="T63" s="745"/>
      <c r="U63" s="745" t="s">
        <v>647</v>
      </c>
      <c r="V63" s="745"/>
      <c r="W63" s="745"/>
      <c r="X63" s="745"/>
      <c r="Y63" s="893"/>
      <c r="Z63" s="748"/>
      <c r="AA63" s="751"/>
      <c r="AB63" s="748"/>
      <c r="AC63" s="748"/>
      <c r="AD63" s="748"/>
    </row>
    <row r="64" spans="1:30" ht="18" customHeight="1">
      <c r="A64" s="747"/>
      <c r="B64" s="797">
        <v>47</v>
      </c>
      <c r="C64" s="745"/>
      <c r="D64" s="861" t="s">
        <v>648</v>
      </c>
      <c r="E64" s="745"/>
      <c r="F64" s="745"/>
      <c r="G64" s="745"/>
      <c r="H64" s="788"/>
      <c r="I64" s="897">
        <f t="shared" si="7"/>
        <v>0</v>
      </c>
      <c r="J64" s="897">
        <f t="shared" si="8"/>
        <v>0</v>
      </c>
      <c r="K64" s="897">
        <f t="shared" si="9"/>
        <v>0</v>
      </c>
      <c r="L64" s="746" t="str">
        <f t="shared" si="10"/>
        <v/>
      </c>
      <c r="M64" s="746" t="str">
        <f t="shared" si="11"/>
        <v/>
      </c>
      <c r="N64" s="746" t="str">
        <f t="shared" si="12"/>
        <v/>
      </c>
      <c r="O64" s="851"/>
      <c r="P64" s="851" t="s">
        <v>150</v>
      </c>
      <c r="Q64" s="851"/>
      <c r="R64" s="851"/>
      <c r="S64" s="851"/>
      <c r="T64" s="745"/>
      <c r="U64" s="745" t="s">
        <v>649</v>
      </c>
      <c r="V64" s="745"/>
      <c r="W64" s="745"/>
      <c r="X64" s="745"/>
      <c r="Y64" s="893"/>
      <c r="Z64" s="748"/>
      <c r="AA64" s="751" t="s">
        <v>650</v>
      </c>
      <c r="AB64" s="748"/>
      <c r="AC64" s="748"/>
      <c r="AD64" s="748"/>
    </row>
    <row r="65" spans="1:30" ht="18" customHeight="1">
      <c r="A65" s="747"/>
      <c r="B65" s="797">
        <v>48</v>
      </c>
      <c r="C65" s="745"/>
      <c r="D65" s="861"/>
      <c r="E65" s="745"/>
      <c r="F65" s="745"/>
      <c r="G65" s="745"/>
      <c r="H65" s="788"/>
      <c r="I65" s="897">
        <f t="shared" si="7"/>
        <v>0</v>
      </c>
      <c r="J65" s="897">
        <f t="shared" si="8"/>
        <v>0</v>
      </c>
      <c r="K65" s="897">
        <f t="shared" si="9"/>
        <v>0</v>
      </c>
      <c r="L65" s="746" t="str">
        <f t="shared" si="10"/>
        <v/>
      </c>
      <c r="M65" s="746" t="str">
        <f t="shared" si="11"/>
        <v/>
      </c>
      <c r="N65" s="746" t="str">
        <f t="shared" si="12"/>
        <v/>
      </c>
      <c r="O65" s="851"/>
      <c r="P65" s="851" t="s">
        <v>545</v>
      </c>
      <c r="Q65" s="851"/>
      <c r="R65" s="851"/>
      <c r="S65" s="851"/>
      <c r="T65" s="745"/>
      <c r="U65" s="745" t="s">
        <v>651</v>
      </c>
      <c r="V65" s="745"/>
      <c r="W65" s="745"/>
      <c r="X65" s="745"/>
      <c r="Y65" s="893"/>
      <c r="Z65" s="748"/>
      <c r="AA65" s="751"/>
      <c r="AB65" s="748"/>
      <c r="AC65" s="748"/>
      <c r="AD65" s="748"/>
    </row>
    <row r="66" spans="1:30" ht="18" customHeight="1">
      <c r="A66" s="747"/>
      <c r="B66" s="797">
        <v>49</v>
      </c>
      <c r="C66" s="745"/>
      <c r="D66" s="861"/>
      <c r="E66" s="745"/>
      <c r="F66" s="745"/>
      <c r="G66" s="745"/>
      <c r="H66" s="788"/>
      <c r="I66" s="897">
        <f t="shared" si="7"/>
        <v>0</v>
      </c>
      <c r="J66" s="897">
        <f t="shared" si="8"/>
        <v>0</v>
      </c>
      <c r="K66" s="897">
        <f t="shared" si="9"/>
        <v>0</v>
      </c>
      <c r="L66" s="746" t="str">
        <f t="shared" si="10"/>
        <v/>
      </c>
      <c r="M66" s="746" t="str">
        <f t="shared" si="11"/>
        <v/>
      </c>
      <c r="N66" s="746" t="str">
        <f t="shared" si="12"/>
        <v/>
      </c>
      <c r="O66" s="851"/>
      <c r="P66" s="851" t="s">
        <v>549</v>
      </c>
      <c r="Q66" s="851"/>
      <c r="R66" s="851"/>
      <c r="S66" s="851"/>
      <c r="T66" s="745"/>
      <c r="U66" s="745" t="s">
        <v>652</v>
      </c>
      <c r="V66" s="745"/>
      <c r="W66" s="745"/>
      <c r="X66" s="745"/>
      <c r="Y66" s="893"/>
      <c r="Z66" s="748"/>
      <c r="AA66" s="751"/>
      <c r="AB66" s="748"/>
      <c r="AC66" s="748"/>
      <c r="AD66" s="748"/>
    </row>
    <row r="67" spans="1:30" ht="27" customHeight="1">
      <c r="A67" s="747"/>
      <c r="B67" s="797">
        <v>50</v>
      </c>
      <c r="C67" s="745"/>
      <c r="D67" s="861"/>
      <c r="E67" s="745"/>
      <c r="F67" s="745"/>
      <c r="G67" s="745"/>
      <c r="H67" s="788"/>
      <c r="I67" s="897">
        <f t="shared" si="7"/>
        <v>0</v>
      </c>
      <c r="J67" s="897">
        <f t="shared" si="8"/>
        <v>0</v>
      </c>
      <c r="K67" s="897">
        <f t="shared" si="9"/>
        <v>0</v>
      </c>
      <c r="L67" s="746" t="str">
        <f t="shared" si="10"/>
        <v/>
      </c>
      <c r="M67" s="746" t="str">
        <f t="shared" si="11"/>
        <v/>
      </c>
      <c r="N67" s="746" t="str">
        <f t="shared" si="12"/>
        <v/>
      </c>
      <c r="O67" s="851"/>
      <c r="P67" s="851" t="s">
        <v>653</v>
      </c>
      <c r="Q67" s="851"/>
      <c r="R67" s="851"/>
      <c r="S67" s="851"/>
      <c r="T67" s="745"/>
      <c r="U67" s="745" t="s">
        <v>654</v>
      </c>
      <c r="V67" s="745"/>
      <c r="W67" s="745"/>
      <c r="X67" s="745"/>
      <c r="Y67" s="893"/>
      <c r="Z67" s="748"/>
      <c r="AA67" s="751"/>
      <c r="AB67" s="748"/>
      <c r="AC67" s="748"/>
      <c r="AD67" s="748"/>
    </row>
    <row r="68" spans="1:30" ht="27" customHeight="1">
      <c r="A68" s="747"/>
      <c r="B68" s="797">
        <v>51</v>
      </c>
      <c r="C68" s="745"/>
      <c r="D68" s="861"/>
      <c r="E68" s="745"/>
      <c r="F68" s="745"/>
      <c r="G68" s="745"/>
      <c r="H68" s="788"/>
      <c r="I68" s="897">
        <f t="shared" si="7"/>
        <v>0</v>
      </c>
      <c r="J68" s="897">
        <f t="shared" si="8"/>
        <v>0</v>
      </c>
      <c r="K68" s="897">
        <f t="shared" si="9"/>
        <v>0</v>
      </c>
      <c r="L68" s="746" t="str">
        <f t="shared" si="10"/>
        <v/>
      </c>
      <c r="M68" s="746" t="str">
        <f t="shared" si="11"/>
        <v/>
      </c>
      <c r="N68" s="746" t="str">
        <f t="shared" si="12"/>
        <v/>
      </c>
      <c r="O68" s="851"/>
      <c r="P68" s="851" t="s">
        <v>655</v>
      </c>
      <c r="Q68" s="851"/>
      <c r="R68" s="851"/>
      <c r="S68" s="851"/>
      <c r="T68" s="745"/>
      <c r="U68" s="745" t="s">
        <v>656</v>
      </c>
      <c r="V68" s="745"/>
      <c r="W68" s="745"/>
      <c r="X68" s="745"/>
      <c r="Y68" s="893"/>
      <c r="Z68" s="748"/>
      <c r="AA68" s="751"/>
      <c r="AB68" s="748"/>
      <c r="AC68" s="748"/>
      <c r="AD68" s="748"/>
    </row>
    <row r="69" spans="1:30" ht="9" customHeight="1">
      <c r="A69" s="747"/>
      <c r="B69" s="797">
        <v>52</v>
      </c>
      <c r="C69" s="745"/>
      <c r="D69" s="861" t="s">
        <v>657</v>
      </c>
      <c r="E69" s="745"/>
      <c r="F69" s="745"/>
      <c r="G69" s="745"/>
      <c r="H69" s="788"/>
      <c r="I69" s="897">
        <f t="shared" si="7"/>
        <v>0</v>
      </c>
      <c r="J69" s="897">
        <f t="shared" si="8"/>
        <v>0</v>
      </c>
      <c r="K69" s="897">
        <f t="shared" si="9"/>
        <v>0</v>
      </c>
      <c r="L69" s="746" t="str">
        <f t="shared" si="10"/>
        <v/>
      </c>
      <c r="M69" s="746" t="str">
        <f t="shared" si="11"/>
        <v/>
      </c>
      <c r="N69" s="746" t="str">
        <f t="shared" si="12"/>
        <v/>
      </c>
      <c r="O69" s="851"/>
      <c r="P69" s="851" t="s">
        <v>151</v>
      </c>
      <c r="Q69" s="851"/>
      <c r="R69" s="851"/>
      <c r="S69" s="851"/>
      <c r="T69" s="745"/>
      <c r="U69" s="745" t="s">
        <v>658</v>
      </c>
      <c r="V69" s="745"/>
      <c r="W69" s="745"/>
      <c r="X69" s="745"/>
      <c r="Y69" s="893"/>
      <c r="Z69" s="748"/>
      <c r="AA69" s="751"/>
      <c r="AB69" s="748"/>
      <c r="AC69" s="748"/>
      <c r="AD69" s="748"/>
    </row>
    <row r="70" spans="1:30" ht="27" customHeight="1">
      <c r="A70" s="747"/>
      <c r="B70" s="797">
        <v>53</v>
      </c>
      <c r="C70" s="745"/>
      <c r="D70" s="861"/>
      <c r="E70" s="745" t="s">
        <v>642</v>
      </c>
      <c r="F70" s="745"/>
      <c r="G70" s="745"/>
      <c r="H70" s="788"/>
      <c r="I70" s="897" t="str">
        <f t="shared" si="7"/>
        <v>7</v>
      </c>
      <c r="J70" s="897" t="str">
        <f t="shared" si="8"/>
        <v>Объём приобретаемой холодной воды, используемой для горячего водоснабжения</v>
      </c>
      <c r="K70" s="897">
        <f t="shared" si="9"/>
        <v>0</v>
      </c>
      <c r="L70" s="746" t="str">
        <f t="shared" si="10"/>
        <v>7</v>
      </c>
      <c r="M70" s="746" t="str">
        <f t="shared" si="11"/>
        <v>Объём приобретаемой холодной воды, используемой для горячего водоснабжения</v>
      </c>
      <c r="N70" s="746" t="str">
        <f t="shared" si="12"/>
        <v/>
      </c>
      <c r="O70" s="851"/>
      <c r="P70" s="851"/>
      <c r="Q70" s="851" t="s">
        <v>92</v>
      </c>
      <c r="R70" s="851"/>
      <c r="S70" s="851"/>
      <c r="T70" s="745"/>
      <c r="U70" s="745"/>
      <c r="V70" s="745" t="s">
        <v>659</v>
      </c>
      <c r="W70" s="745"/>
      <c r="X70" s="745"/>
      <c r="Y70" s="893"/>
      <c r="Z70" s="748"/>
      <c r="AA70" s="751"/>
      <c r="AB70" s="748"/>
      <c r="AC70" s="748"/>
      <c r="AD70" s="748"/>
    </row>
    <row r="71" spans="1:30" ht="36" customHeight="1">
      <c r="A71" s="747"/>
      <c r="B71" s="797">
        <v>54</v>
      </c>
      <c r="C71" s="745"/>
      <c r="D71" s="861"/>
      <c r="E71" s="745" t="s">
        <v>644</v>
      </c>
      <c r="F71" s="745"/>
      <c r="G71" s="745"/>
      <c r="H71" s="788"/>
      <c r="I71" s="897" t="str">
        <f t="shared" si="7"/>
        <v>8</v>
      </c>
      <c r="J71" s="897" t="str">
        <f t="shared" si="8"/>
        <v>Объём холодной воды, получаемой с применением собственных источников водозабора (скважин) и используемой для горячего водоснабжения</v>
      </c>
      <c r="K71" s="897">
        <f t="shared" si="9"/>
        <v>0</v>
      </c>
      <c r="L71" s="746" t="str">
        <f t="shared" si="10"/>
        <v>8</v>
      </c>
      <c r="M71" s="746" t="str">
        <f t="shared" si="11"/>
        <v>Объём холодной воды, получаемой с применением собственных источников водозабора (скважин) и используемой для горячего водоснабжения</v>
      </c>
      <c r="N71" s="746" t="str">
        <f t="shared" si="12"/>
        <v/>
      </c>
      <c r="O71" s="851"/>
      <c r="P71" s="851"/>
      <c r="Q71" s="851" t="s">
        <v>111</v>
      </c>
      <c r="R71" s="851"/>
      <c r="S71" s="851"/>
      <c r="T71" s="745"/>
      <c r="U71" s="745"/>
      <c r="V71" s="745" t="s">
        <v>660</v>
      </c>
      <c r="W71" s="745"/>
      <c r="X71" s="745"/>
      <c r="Y71" s="893"/>
      <c r="Z71" s="748"/>
      <c r="AA71" s="751"/>
      <c r="AB71" s="748"/>
      <c r="AC71" s="748"/>
      <c r="AD71" s="748"/>
    </row>
    <row r="72" spans="1:30" ht="27" customHeight="1">
      <c r="A72" s="747"/>
      <c r="B72" s="797">
        <v>55</v>
      </c>
      <c r="C72" s="745"/>
      <c r="D72" s="861"/>
      <c r="E72" s="745" t="s">
        <v>646</v>
      </c>
      <c r="F72" s="745"/>
      <c r="G72" s="745"/>
      <c r="H72" s="788"/>
      <c r="I72" s="897" t="str">
        <f t="shared" si="7"/>
        <v>9</v>
      </c>
      <c r="J72" s="897" t="str">
        <f t="shared" si="8"/>
        <v>Объём приобретаемой тепловой энергии (мощности), используемой для горячего водоснабжения</v>
      </c>
      <c r="K72" s="897">
        <f t="shared" si="9"/>
        <v>0</v>
      </c>
      <c r="L72" s="746" t="str">
        <f t="shared" si="10"/>
        <v>9</v>
      </c>
      <c r="M72" s="746" t="str">
        <f t="shared" si="11"/>
        <v>Объём приобретаемой тепловой энергии (мощности), используемой для горячего водоснабжения</v>
      </c>
      <c r="N72" s="746" t="str">
        <f t="shared" si="12"/>
        <v/>
      </c>
      <c r="O72" s="851"/>
      <c r="P72" s="851"/>
      <c r="Q72" s="851" t="s">
        <v>149</v>
      </c>
      <c r="R72" s="851"/>
      <c r="S72" s="851"/>
      <c r="T72" s="745"/>
      <c r="U72" s="745"/>
      <c r="V72" s="745" t="s">
        <v>661</v>
      </c>
      <c r="W72" s="745"/>
      <c r="X72" s="745"/>
      <c r="Y72" s="893"/>
      <c r="Z72" s="748"/>
      <c r="AA72" s="751"/>
      <c r="AB72" s="748"/>
      <c r="AC72" s="748"/>
      <c r="AD72" s="748"/>
    </row>
    <row r="73" spans="1:30" ht="36" customHeight="1">
      <c r="A73" s="747"/>
      <c r="B73" s="797">
        <v>56</v>
      </c>
      <c r="C73" s="745"/>
      <c r="D73" s="861"/>
      <c r="E73" s="745" t="s">
        <v>648</v>
      </c>
      <c r="F73" s="745"/>
      <c r="G73" s="745"/>
      <c r="H73" s="788"/>
      <c r="I73" s="897" t="str">
        <f t="shared" si="7"/>
        <v>10</v>
      </c>
      <c r="J73" s="897" t="str">
        <f t="shared" si="8"/>
        <v>Объём тепловой энергии, производимой с применением собственных источников и используемой для горячего водоснабжения</v>
      </c>
      <c r="K73" s="897">
        <f t="shared" si="9"/>
        <v>0</v>
      </c>
      <c r="L73" s="746" t="str">
        <f t="shared" si="10"/>
        <v>10</v>
      </c>
      <c r="M73" s="746" t="str">
        <f t="shared" si="11"/>
        <v>Объём тепловой энергии, производимой с применением собственных источников и используемой для горячего водоснабжения</v>
      </c>
      <c r="N73" s="746" t="str">
        <f t="shared" si="12"/>
        <v/>
      </c>
      <c r="O73" s="851"/>
      <c r="P73" s="851"/>
      <c r="Q73" s="851" t="s">
        <v>150</v>
      </c>
      <c r="R73" s="851"/>
      <c r="S73" s="851"/>
      <c r="T73" s="745"/>
      <c r="U73" s="745"/>
      <c r="V73" s="745" t="s">
        <v>662</v>
      </c>
      <c r="W73" s="745"/>
      <c r="X73" s="745"/>
      <c r="Y73" s="893"/>
      <c r="Z73" s="748"/>
      <c r="AA73" s="751"/>
      <c r="AB73" s="748"/>
      <c r="AC73" s="748"/>
      <c r="AD73" s="748"/>
    </row>
    <row r="74" spans="1:30" ht="18" customHeight="1">
      <c r="A74" s="747"/>
      <c r="B74" s="797">
        <v>57</v>
      </c>
      <c r="C74" s="745"/>
      <c r="D74" s="861"/>
      <c r="E74" s="745" t="s">
        <v>657</v>
      </c>
      <c r="F74" s="745"/>
      <c r="G74" s="745"/>
      <c r="H74" s="788"/>
      <c r="I74" s="897" t="str">
        <f t="shared" si="7"/>
        <v>11</v>
      </c>
      <c r="J74" s="897" t="str">
        <f t="shared" si="8"/>
        <v>Потери горячей воды в сетях (процентов)</v>
      </c>
      <c r="K74" s="897">
        <f t="shared" si="9"/>
        <v>0</v>
      </c>
      <c r="L74" s="746" t="str">
        <f t="shared" si="10"/>
        <v>11</v>
      </c>
      <c r="M74" s="746" t="str">
        <f t="shared" si="11"/>
        <v>Потери горячей воды в сетях (процентов)</v>
      </c>
      <c r="N74" s="746" t="str">
        <f t="shared" si="12"/>
        <v/>
      </c>
      <c r="O74" s="851"/>
      <c r="P74" s="851"/>
      <c r="Q74" s="851" t="s">
        <v>151</v>
      </c>
      <c r="R74" s="851"/>
      <c r="S74" s="851"/>
      <c r="T74" s="745"/>
      <c r="U74" s="745"/>
      <c r="V74" s="745" t="s">
        <v>663</v>
      </c>
      <c r="W74" s="745"/>
      <c r="X74" s="745"/>
      <c r="Y74" s="893"/>
      <c r="Z74" s="748"/>
      <c r="AA74" s="751"/>
      <c r="AB74" s="748"/>
      <c r="AC74" s="748"/>
      <c r="AD74" s="748"/>
    </row>
    <row r="75" spans="1:30" ht="18" customHeight="1">
      <c r="A75" s="747"/>
      <c r="B75" s="797">
        <v>58</v>
      </c>
      <c r="C75" s="745"/>
      <c r="D75" s="861"/>
      <c r="E75" s="745"/>
      <c r="F75" s="745" t="s">
        <v>642</v>
      </c>
      <c r="G75" s="745"/>
      <c r="H75" s="788"/>
      <c r="I75" s="897">
        <f t="shared" si="7"/>
        <v>0</v>
      </c>
      <c r="J75" s="897">
        <f t="shared" si="8"/>
        <v>0</v>
      </c>
      <c r="K75" s="897">
        <f t="shared" si="9"/>
        <v>0</v>
      </c>
      <c r="L75" s="746" t="str">
        <f t="shared" si="10"/>
        <v/>
      </c>
      <c r="M75" s="746" t="str">
        <f t="shared" si="11"/>
        <v/>
      </c>
      <c r="N75" s="746" t="str">
        <f t="shared" si="12"/>
        <v/>
      </c>
      <c r="O75" s="851"/>
      <c r="P75" s="851"/>
      <c r="Q75" s="851"/>
      <c r="R75" s="851" t="s">
        <v>92</v>
      </c>
      <c r="S75" s="851"/>
      <c r="T75" s="745"/>
      <c r="U75" s="745"/>
      <c r="V75" s="745"/>
      <c r="W75" s="745" t="s">
        <v>664</v>
      </c>
      <c r="X75" s="745"/>
      <c r="Y75" s="893"/>
      <c r="Z75" s="748"/>
      <c r="AA75" s="751"/>
      <c r="AB75" s="748"/>
      <c r="AC75" s="748"/>
      <c r="AD75" s="748"/>
    </row>
    <row r="76" spans="1:30" ht="36" customHeight="1">
      <c r="A76" s="747"/>
      <c r="B76" s="797">
        <v>59</v>
      </c>
      <c r="C76" s="745"/>
      <c r="D76" s="861"/>
      <c r="E76" s="745"/>
      <c r="F76" s="745" t="s">
        <v>644</v>
      </c>
      <c r="G76" s="745"/>
      <c r="H76" s="788"/>
      <c r="I76" s="897">
        <f t="shared" si="7"/>
        <v>0</v>
      </c>
      <c r="J76" s="897">
        <f t="shared" si="8"/>
        <v>0</v>
      </c>
      <c r="K76" s="897">
        <f t="shared" si="9"/>
        <v>0</v>
      </c>
      <c r="L76" s="746" t="str">
        <f t="shared" si="10"/>
        <v/>
      </c>
      <c r="M76" s="746" t="str">
        <f t="shared" si="11"/>
        <v/>
      </c>
      <c r="N76" s="746" t="str">
        <f t="shared" si="12"/>
        <v/>
      </c>
      <c r="O76" s="851"/>
      <c r="P76" s="851"/>
      <c r="Q76" s="851"/>
      <c r="R76" s="851" t="s">
        <v>111</v>
      </c>
      <c r="S76" s="851"/>
      <c r="T76" s="745"/>
      <c r="U76" s="745"/>
      <c r="V76" s="745"/>
      <c r="W76" s="745" t="s">
        <v>665</v>
      </c>
      <c r="X76" s="745"/>
      <c r="Y76" s="893"/>
      <c r="Z76" s="748"/>
      <c r="AA76" s="751"/>
      <c r="AB76" s="748"/>
      <c r="AC76" s="748"/>
      <c r="AD76" s="748"/>
    </row>
    <row r="77" spans="1:30" ht="18" customHeight="1">
      <c r="A77" s="747"/>
      <c r="B77" s="797">
        <v>60</v>
      </c>
      <c r="C77" s="745"/>
      <c r="D77" s="861"/>
      <c r="E77" s="745"/>
      <c r="F77" s="745" t="s">
        <v>646</v>
      </c>
      <c r="G77" s="745"/>
      <c r="H77" s="788"/>
      <c r="I77" s="897">
        <f t="shared" si="7"/>
        <v>0</v>
      </c>
      <c r="J77" s="897">
        <f t="shared" si="8"/>
        <v>0</v>
      </c>
      <c r="K77" s="897">
        <f t="shared" si="9"/>
        <v>0</v>
      </c>
      <c r="L77" s="746" t="str">
        <f t="shared" si="10"/>
        <v/>
      </c>
      <c r="M77" s="746" t="str">
        <f t="shared" si="11"/>
        <v/>
      </c>
      <c r="N77" s="746" t="str">
        <f t="shared" si="12"/>
        <v/>
      </c>
      <c r="O77" s="851"/>
      <c r="P77" s="851"/>
      <c r="Q77" s="851"/>
      <c r="R77" s="851" t="s">
        <v>149</v>
      </c>
      <c r="S77" s="851"/>
      <c r="T77" s="745"/>
      <c r="U77" s="745"/>
      <c r="V77" s="745"/>
      <c r="W77" s="745" t="s">
        <v>666</v>
      </c>
      <c r="X77" s="745"/>
      <c r="Y77" s="893"/>
      <c r="Z77" s="748"/>
      <c r="AA77" s="751"/>
      <c r="AB77" s="748"/>
      <c r="AC77" s="748"/>
      <c r="AD77" s="748"/>
    </row>
    <row r="78" spans="1:30" ht="72" customHeight="1">
      <c r="A78" s="747"/>
      <c r="B78" s="797">
        <v>61</v>
      </c>
      <c r="C78" s="745" t="s">
        <v>642</v>
      </c>
      <c r="D78" s="861"/>
      <c r="E78" s="745"/>
      <c r="F78" s="745"/>
      <c r="G78" s="745"/>
      <c r="H78" s="788"/>
      <c r="I78" s="897">
        <f t="shared" si="7"/>
        <v>0</v>
      </c>
      <c r="J78" s="897">
        <f t="shared" si="8"/>
        <v>0</v>
      </c>
      <c r="K78" s="897">
        <f t="shared" si="9"/>
        <v>0</v>
      </c>
      <c r="L78" s="746" t="str">
        <f t="shared" si="10"/>
        <v/>
      </c>
      <c r="M78" s="746" t="str">
        <f t="shared" si="11"/>
        <v/>
      </c>
      <c r="N78" s="746" t="str">
        <f t="shared" si="12"/>
        <v/>
      </c>
      <c r="O78" s="851" t="s">
        <v>92</v>
      </c>
      <c r="P78" s="851"/>
      <c r="Q78" s="851"/>
      <c r="R78" s="851"/>
      <c r="S78" s="851"/>
      <c r="T78" s="745" t="s">
        <v>667</v>
      </c>
      <c r="U78" s="745"/>
      <c r="V78" s="745"/>
      <c r="W78" s="745"/>
      <c r="X78" s="745"/>
      <c r="Y78" s="893"/>
      <c r="Z78" s="748" t="s">
        <v>668</v>
      </c>
      <c r="AA78" s="751"/>
      <c r="AB78" s="748"/>
      <c r="AC78" s="748"/>
      <c r="AD78" s="748"/>
    </row>
    <row r="79" spans="1:30" ht="36" customHeight="1">
      <c r="A79" s="747"/>
      <c r="B79" s="797">
        <v>62</v>
      </c>
      <c r="C79" s="745" t="s">
        <v>644</v>
      </c>
      <c r="D79" s="861"/>
      <c r="E79" s="745"/>
      <c r="F79" s="745"/>
      <c r="G79" s="745"/>
      <c r="H79" s="788"/>
      <c r="I79" s="897">
        <f t="shared" si="7"/>
        <v>0</v>
      </c>
      <c r="J79" s="897">
        <f t="shared" si="8"/>
        <v>0</v>
      </c>
      <c r="K79" s="897">
        <f t="shared" si="9"/>
        <v>0</v>
      </c>
      <c r="L79" s="746" t="str">
        <f t="shared" si="10"/>
        <v/>
      </c>
      <c r="M79" s="746" t="str">
        <f t="shared" si="11"/>
        <v/>
      </c>
      <c r="N79" s="746" t="str">
        <f t="shared" si="12"/>
        <v/>
      </c>
      <c r="O79" s="851" t="s">
        <v>111</v>
      </c>
      <c r="P79" s="851"/>
      <c r="Q79" s="851"/>
      <c r="R79" s="851"/>
      <c r="S79" s="851"/>
      <c r="T79" s="745" t="s">
        <v>669</v>
      </c>
      <c r="U79" s="745"/>
      <c r="V79" s="745"/>
      <c r="W79" s="745"/>
      <c r="X79" s="745"/>
      <c r="Y79" s="893"/>
      <c r="Z79" s="748" t="s">
        <v>670</v>
      </c>
      <c r="AA79" s="751"/>
      <c r="AB79" s="748"/>
      <c r="AC79" s="748"/>
      <c r="AD79" s="748"/>
    </row>
    <row r="80" spans="1:30" ht="45" customHeight="1">
      <c r="A80" s="747"/>
      <c r="B80" s="797">
        <v>63</v>
      </c>
      <c r="C80" s="745" t="s">
        <v>646</v>
      </c>
      <c r="D80" s="861"/>
      <c r="E80" s="745"/>
      <c r="F80" s="745"/>
      <c r="G80" s="745"/>
      <c r="H80" s="788"/>
      <c r="I80" s="897">
        <f t="shared" si="7"/>
        <v>0</v>
      </c>
      <c r="J80" s="897">
        <f t="shared" si="8"/>
        <v>0</v>
      </c>
      <c r="K80" s="897">
        <f t="shared" si="9"/>
        <v>0</v>
      </c>
      <c r="L80" s="746" t="str">
        <f t="shared" si="10"/>
        <v/>
      </c>
      <c r="M80" s="746" t="str">
        <f t="shared" si="11"/>
        <v/>
      </c>
      <c r="N80" s="746" t="str">
        <f t="shared" si="12"/>
        <v/>
      </c>
      <c r="O80" s="851" t="s">
        <v>149</v>
      </c>
      <c r="P80" s="851"/>
      <c r="Q80" s="851"/>
      <c r="R80" s="851"/>
      <c r="S80" s="851"/>
      <c r="T80" s="745" t="s">
        <v>671</v>
      </c>
      <c r="U80" s="745"/>
      <c r="V80" s="745"/>
      <c r="W80" s="745"/>
      <c r="X80" s="745"/>
      <c r="Y80" s="893"/>
      <c r="Z80" s="748" t="s">
        <v>672</v>
      </c>
      <c r="AA80" s="751"/>
      <c r="AB80" s="748"/>
      <c r="AC80" s="748"/>
      <c r="AD80" s="748"/>
    </row>
    <row r="81" spans="1:30" ht="36" customHeight="1">
      <c r="A81" s="747"/>
      <c r="B81" s="797">
        <v>64</v>
      </c>
      <c r="C81" s="745" t="s">
        <v>648</v>
      </c>
      <c r="D81" s="861"/>
      <c r="E81" s="745"/>
      <c r="F81" s="745"/>
      <c r="G81" s="745"/>
      <c r="H81" s="788"/>
      <c r="I81" s="897">
        <f t="shared" si="7"/>
        <v>0</v>
      </c>
      <c r="J81" s="897">
        <f t="shared" si="8"/>
        <v>0</v>
      </c>
      <c r="K81" s="897">
        <f t="shared" si="9"/>
        <v>0</v>
      </c>
      <c r="L81" s="746" t="str">
        <f t="shared" si="10"/>
        <v/>
      </c>
      <c r="M81" s="746" t="str">
        <f t="shared" si="11"/>
        <v/>
      </c>
      <c r="N81" s="746" t="str">
        <f t="shared" si="12"/>
        <v/>
      </c>
      <c r="O81" s="851" t="s">
        <v>533</v>
      </c>
      <c r="P81" s="851"/>
      <c r="Q81" s="851"/>
      <c r="R81" s="851"/>
      <c r="S81" s="851"/>
      <c r="T81" s="745" t="s">
        <v>673</v>
      </c>
      <c r="U81" s="745"/>
      <c r="V81" s="745"/>
      <c r="W81" s="745"/>
      <c r="X81" s="745"/>
      <c r="Y81" s="893"/>
      <c r="Z81" s="748" t="s">
        <v>674</v>
      </c>
      <c r="AA81" s="751"/>
      <c r="AB81" s="748"/>
      <c r="AC81" s="748"/>
      <c r="AD81" s="748"/>
    </row>
    <row r="82" spans="1:30" ht="90" customHeight="1">
      <c r="A82" s="747"/>
      <c r="B82" s="797">
        <v>65</v>
      </c>
      <c r="C82" s="745" t="s">
        <v>657</v>
      </c>
      <c r="D82" s="861"/>
      <c r="E82" s="745"/>
      <c r="F82" s="745"/>
      <c r="G82" s="745"/>
      <c r="H82" s="788"/>
      <c r="I82" s="897">
        <f t="shared" ref="I82:I101" si="13">INDEX(TEMPLATE_NUMBER_POINT_FHD,B82,MATCH(TEMPLATE_SPHERE,TEMPLATE_SPHERE_LIST_FOR_NOTE,0))</f>
        <v>0</v>
      </c>
      <c r="J82" s="897">
        <f t="shared" ref="J82:J101" si="14">INDEX(TEMPLATE_DATA_POINT_FHD,B82,MATCH(TEMPLATE_SPHERE,TEMPLATE_SPHERE_LIST_FOR_NOTE,0))</f>
        <v>0</v>
      </c>
      <c r="K82" s="897">
        <f t="shared" ref="K82:K101" si="15">INDEX(TEMPLATE_NOTE_POINT_FHD,B82,MATCH(TEMPLATE_SPHERE,TEMPLATE_SPHERE_LIST_FOR_NOTE,0))</f>
        <v>0</v>
      </c>
      <c r="L82" s="746" t="str">
        <f t="shared" ref="L82:L101" si="16">IF(I82=0,"",I82)</f>
        <v/>
      </c>
      <c r="M82" s="746" t="str">
        <f t="shared" ref="M82:M101" si="17">IF(J82=0,"",J82)</f>
        <v/>
      </c>
      <c r="N82" s="746" t="str">
        <f t="shared" ref="N82:N101" si="18">IF(K82=0,"",K82)</f>
        <v/>
      </c>
      <c r="O82" s="851" t="s">
        <v>150</v>
      </c>
      <c r="P82" s="851"/>
      <c r="Q82" s="851"/>
      <c r="R82" s="851"/>
      <c r="S82" s="851"/>
      <c r="T82" s="745" t="s">
        <v>675</v>
      </c>
      <c r="U82" s="745"/>
      <c r="V82" s="745"/>
      <c r="W82" s="745"/>
      <c r="X82" s="745"/>
      <c r="Y82" s="893"/>
      <c r="Z82" s="748" t="s">
        <v>676</v>
      </c>
      <c r="AA82" s="751"/>
      <c r="AB82" s="748"/>
      <c r="AC82" s="748"/>
      <c r="AD82" s="748"/>
    </row>
    <row r="83" spans="1:30" ht="9" customHeight="1">
      <c r="A83" s="747"/>
      <c r="B83" s="797">
        <v>66</v>
      </c>
      <c r="C83" s="745"/>
      <c r="D83" s="861"/>
      <c r="E83" s="745"/>
      <c r="F83" s="745"/>
      <c r="G83" s="745"/>
      <c r="H83" s="788"/>
      <c r="I83" s="897">
        <f t="shared" si="13"/>
        <v>0</v>
      </c>
      <c r="J83" s="897">
        <f t="shared" si="14"/>
        <v>0</v>
      </c>
      <c r="K83" s="897">
        <f t="shared" si="15"/>
        <v>0</v>
      </c>
      <c r="L83" s="746" t="str">
        <f t="shared" si="16"/>
        <v/>
      </c>
      <c r="M83" s="746" t="str">
        <f t="shared" si="17"/>
        <v/>
      </c>
      <c r="N83" s="746" t="str">
        <f t="shared" si="18"/>
        <v/>
      </c>
      <c r="O83" s="851" t="s">
        <v>545</v>
      </c>
      <c r="P83" s="851"/>
      <c r="Q83" s="851"/>
      <c r="R83" s="851"/>
      <c r="S83" s="851"/>
      <c r="T83" s="745" t="s">
        <v>677</v>
      </c>
      <c r="U83" s="745"/>
      <c r="V83" s="745"/>
      <c r="W83" s="745"/>
      <c r="X83" s="745"/>
      <c r="Y83" s="893"/>
      <c r="Z83" s="748"/>
      <c r="AA83" s="751"/>
      <c r="AB83" s="748"/>
      <c r="AC83" s="748"/>
      <c r="AD83" s="748"/>
    </row>
    <row r="84" spans="1:30" ht="54" customHeight="1">
      <c r="A84" s="747"/>
      <c r="B84" s="797">
        <v>67</v>
      </c>
      <c r="C84" s="745"/>
      <c r="D84" s="861"/>
      <c r="E84" s="745"/>
      <c r="F84" s="745"/>
      <c r="G84" s="745"/>
      <c r="H84" s="788"/>
      <c r="I84" s="897">
        <f t="shared" si="13"/>
        <v>0</v>
      </c>
      <c r="J84" s="897">
        <f t="shared" si="14"/>
        <v>0</v>
      </c>
      <c r="K84" s="897">
        <f t="shared" si="15"/>
        <v>0</v>
      </c>
      <c r="L84" s="746" t="str">
        <f t="shared" si="16"/>
        <v/>
      </c>
      <c r="M84" s="746" t="str">
        <f t="shared" si="17"/>
        <v/>
      </c>
      <c r="N84" s="746" t="str">
        <f t="shared" si="18"/>
        <v/>
      </c>
      <c r="O84" s="851" t="s">
        <v>678</v>
      </c>
      <c r="P84" s="851"/>
      <c r="Q84" s="851"/>
      <c r="R84" s="851"/>
      <c r="S84" s="851"/>
      <c r="T84" s="745" t="s">
        <v>679</v>
      </c>
      <c r="U84" s="745"/>
      <c r="V84" s="745"/>
      <c r="W84" s="745"/>
      <c r="X84" s="745"/>
      <c r="Y84" s="893"/>
      <c r="Z84" s="748"/>
      <c r="AA84" s="751"/>
      <c r="AB84" s="748"/>
      <c r="AC84" s="748"/>
      <c r="AD84" s="748"/>
    </row>
    <row r="85" spans="1:30" ht="9" customHeight="1">
      <c r="A85" s="747"/>
      <c r="B85" s="797">
        <v>68</v>
      </c>
      <c r="C85" s="745"/>
      <c r="D85" s="861"/>
      <c r="E85" s="745"/>
      <c r="F85" s="745"/>
      <c r="G85" s="745"/>
      <c r="H85" s="788"/>
      <c r="I85" s="897">
        <f t="shared" si="13"/>
        <v>0</v>
      </c>
      <c r="J85" s="897">
        <f t="shared" si="14"/>
        <v>0</v>
      </c>
      <c r="K85" s="897">
        <f t="shared" si="15"/>
        <v>0</v>
      </c>
      <c r="L85" s="746" t="str">
        <f t="shared" si="16"/>
        <v/>
      </c>
      <c r="M85" s="746" t="str">
        <f t="shared" si="17"/>
        <v/>
      </c>
      <c r="N85" s="746" t="str">
        <f t="shared" si="18"/>
        <v/>
      </c>
      <c r="O85" s="851" t="s">
        <v>549</v>
      </c>
      <c r="P85" s="851"/>
      <c r="Q85" s="851"/>
      <c r="R85" s="851"/>
      <c r="S85" s="851"/>
      <c r="T85" s="745" t="s">
        <v>680</v>
      </c>
      <c r="U85" s="745"/>
      <c r="V85" s="745"/>
      <c r="W85" s="745"/>
      <c r="X85" s="745"/>
      <c r="Y85" s="893"/>
      <c r="Z85" s="748"/>
      <c r="AA85" s="751"/>
      <c r="AB85" s="748"/>
      <c r="AC85" s="748"/>
      <c r="AD85" s="748"/>
    </row>
    <row r="86" spans="1:30" ht="27" customHeight="1">
      <c r="A86" s="747"/>
      <c r="B86" s="797">
        <v>69</v>
      </c>
      <c r="C86" s="745"/>
      <c r="D86" s="861"/>
      <c r="E86" s="745"/>
      <c r="F86" s="745"/>
      <c r="G86" s="745"/>
      <c r="H86" s="788"/>
      <c r="I86" s="897">
        <f t="shared" si="13"/>
        <v>0</v>
      </c>
      <c r="J86" s="897">
        <f t="shared" si="14"/>
        <v>0</v>
      </c>
      <c r="K86" s="897">
        <f t="shared" si="15"/>
        <v>0</v>
      </c>
      <c r="L86" s="746" t="str">
        <f t="shared" si="16"/>
        <v/>
      </c>
      <c r="M86" s="746" t="str">
        <f t="shared" si="17"/>
        <v/>
      </c>
      <c r="N86" s="746" t="str">
        <f t="shared" si="18"/>
        <v/>
      </c>
      <c r="O86" s="851" t="s">
        <v>681</v>
      </c>
      <c r="P86" s="851"/>
      <c r="Q86" s="851"/>
      <c r="R86" s="851"/>
      <c r="S86" s="851"/>
      <c r="T86" s="745" t="s">
        <v>682</v>
      </c>
      <c r="U86" s="745"/>
      <c r="V86" s="745"/>
      <c r="W86" s="745"/>
      <c r="X86" s="745"/>
      <c r="Y86" s="893"/>
      <c r="Z86" s="748"/>
      <c r="AA86" s="751"/>
      <c r="AB86" s="748"/>
      <c r="AC86" s="748"/>
      <c r="AD86" s="748"/>
    </row>
    <row r="87" spans="1:30" ht="36" customHeight="1">
      <c r="A87" s="747"/>
      <c r="B87" s="797">
        <v>70</v>
      </c>
      <c r="C87" s="745" t="s">
        <v>683</v>
      </c>
      <c r="D87" s="861"/>
      <c r="E87" s="745"/>
      <c r="F87" s="745"/>
      <c r="G87" s="745"/>
      <c r="H87" s="788"/>
      <c r="I87" s="897">
        <f t="shared" si="13"/>
        <v>0</v>
      </c>
      <c r="J87" s="897">
        <f t="shared" si="14"/>
        <v>0</v>
      </c>
      <c r="K87" s="897">
        <f t="shared" si="15"/>
        <v>0</v>
      </c>
      <c r="L87" s="746" t="str">
        <f t="shared" si="16"/>
        <v/>
      </c>
      <c r="M87" s="746" t="str">
        <f t="shared" si="17"/>
        <v/>
      </c>
      <c r="N87" s="746" t="str">
        <f t="shared" si="18"/>
        <v/>
      </c>
      <c r="O87" s="851" t="s">
        <v>151</v>
      </c>
      <c r="P87" s="851"/>
      <c r="Q87" s="851"/>
      <c r="R87" s="851"/>
      <c r="S87" s="851"/>
      <c r="T87" s="745" t="s">
        <v>684</v>
      </c>
      <c r="U87" s="745"/>
      <c r="V87" s="745"/>
      <c r="W87" s="745"/>
      <c r="X87" s="745"/>
      <c r="Y87" s="893"/>
      <c r="Z87" s="748"/>
      <c r="AA87" s="751"/>
      <c r="AB87" s="748"/>
      <c r="AC87" s="748"/>
      <c r="AD87" s="748"/>
    </row>
    <row r="88" spans="1:30" ht="18" customHeight="1">
      <c r="A88" s="747"/>
      <c r="B88" s="797">
        <v>71</v>
      </c>
      <c r="C88" s="745" t="s">
        <v>685</v>
      </c>
      <c r="D88" s="861"/>
      <c r="E88" s="745"/>
      <c r="F88" s="745"/>
      <c r="G88" s="745"/>
      <c r="H88" s="788"/>
      <c r="I88" s="897">
        <f t="shared" si="13"/>
        <v>0</v>
      </c>
      <c r="J88" s="897">
        <f t="shared" si="14"/>
        <v>0</v>
      </c>
      <c r="K88" s="897">
        <f t="shared" si="15"/>
        <v>0</v>
      </c>
      <c r="L88" s="746" t="str">
        <f t="shared" si="16"/>
        <v/>
      </c>
      <c r="M88" s="746" t="str">
        <f t="shared" si="17"/>
        <v/>
      </c>
      <c r="N88" s="746" t="str">
        <f t="shared" si="18"/>
        <v/>
      </c>
      <c r="O88" s="851" t="s">
        <v>152</v>
      </c>
      <c r="P88" s="851"/>
      <c r="Q88" s="851"/>
      <c r="R88" s="851"/>
      <c r="S88" s="851"/>
      <c r="T88" s="745" t="s">
        <v>686</v>
      </c>
      <c r="U88" s="745"/>
      <c r="V88" s="745"/>
      <c r="W88" s="745"/>
      <c r="X88" s="745"/>
      <c r="Y88" s="893"/>
      <c r="Z88" s="748"/>
      <c r="AA88" s="751"/>
      <c r="AB88" s="748"/>
      <c r="AC88" s="748"/>
      <c r="AD88" s="748"/>
    </row>
    <row r="89" spans="1:30" ht="18" customHeight="1">
      <c r="A89" s="747"/>
      <c r="B89" s="797">
        <v>72</v>
      </c>
      <c r="C89" s="745" t="s">
        <v>687</v>
      </c>
      <c r="D89" s="861" t="s">
        <v>683</v>
      </c>
      <c r="E89" s="745" t="s">
        <v>683</v>
      </c>
      <c r="F89" s="745" t="s">
        <v>648</v>
      </c>
      <c r="G89" s="745"/>
      <c r="H89" s="788"/>
      <c r="I89" s="897" t="str">
        <f t="shared" si="13"/>
        <v>12</v>
      </c>
      <c r="J89" s="897" t="str">
        <f t="shared" si="14"/>
        <v>Среднесписочная численность основного производственного персонала</v>
      </c>
      <c r="K89" s="897">
        <f t="shared" si="15"/>
        <v>0</v>
      </c>
      <c r="L89" s="746" t="str">
        <f t="shared" si="16"/>
        <v>12</v>
      </c>
      <c r="M89" s="746" t="str">
        <f t="shared" si="17"/>
        <v>Среднесписочная численность основного производственного персонала</v>
      </c>
      <c r="N89" s="746" t="str">
        <f t="shared" si="18"/>
        <v/>
      </c>
      <c r="O89" s="851" t="s">
        <v>153</v>
      </c>
      <c r="P89" s="851" t="s">
        <v>152</v>
      </c>
      <c r="Q89" s="851" t="s">
        <v>152</v>
      </c>
      <c r="R89" s="851" t="s">
        <v>150</v>
      </c>
      <c r="S89" s="851"/>
      <c r="T89" s="745" t="s">
        <v>688</v>
      </c>
      <c r="U89" s="745" t="s">
        <v>688</v>
      </c>
      <c r="V89" s="745" t="s">
        <v>688</v>
      </c>
      <c r="W89" s="745" t="s">
        <v>688</v>
      </c>
      <c r="X89" s="745"/>
      <c r="Y89" s="893"/>
      <c r="Z89" s="748"/>
      <c r="AA89" s="751"/>
      <c r="AB89" s="748"/>
      <c r="AC89" s="748"/>
      <c r="AD89" s="748"/>
    </row>
    <row r="90" spans="1:30" ht="27" customHeight="1">
      <c r="A90" s="747"/>
      <c r="B90" s="797">
        <v>73</v>
      </c>
      <c r="C90" s="745" t="s">
        <v>689</v>
      </c>
      <c r="D90" s="861"/>
      <c r="E90" s="745"/>
      <c r="F90" s="745"/>
      <c r="G90" s="745"/>
      <c r="H90" s="788"/>
      <c r="I90" s="897">
        <f t="shared" si="13"/>
        <v>0</v>
      </c>
      <c r="J90" s="897">
        <f t="shared" si="14"/>
        <v>0</v>
      </c>
      <c r="K90" s="897">
        <f t="shared" si="15"/>
        <v>0</v>
      </c>
      <c r="L90" s="746" t="str">
        <f t="shared" si="16"/>
        <v/>
      </c>
      <c r="M90" s="746" t="str">
        <f t="shared" si="17"/>
        <v/>
      </c>
      <c r="N90" s="746" t="str">
        <f t="shared" si="18"/>
        <v/>
      </c>
      <c r="O90" s="851" t="s">
        <v>154</v>
      </c>
      <c r="P90" s="851"/>
      <c r="Q90" s="851"/>
      <c r="R90" s="851"/>
      <c r="S90" s="851"/>
      <c r="T90" s="745" t="s">
        <v>690</v>
      </c>
      <c r="U90" s="745"/>
      <c r="V90" s="745"/>
      <c r="W90" s="745"/>
      <c r="X90" s="745"/>
      <c r="Y90" s="893"/>
      <c r="Z90" s="748"/>
      <c r="AA90" s="751"/>
      <c r="AB90" s="748"/>
      <c r="AC90" s="748"/>
      <c r="AD90" s="748"/>
    </row>
    <row r="91" spans="1:30" ht="18" customHeight="1">
      <c r="A91" s="747"/>
      <c r="B91" s="797">
        <v>74</v>
      </c>
      <c r="C91" s="745"/>
      <c r="D91" s="861" t="s">
        <v>685</v>
      </c>
      <c r="E91" s="745" t="s">
        <v>685</v>
      </c>
      <c r="F91" s="745"/>
      <c r="G91" s="745"/>
      <c r="H91" s="788"/>
      <c r="I91" s="897" t="str">
        <f t="shared" si="13"/>
        <v>13</v>
      </c>
      <c r="J91" s="897" t="str">
        <f t="shared" si="14"/>
        <v>Удельный расход электрической энергии на подачу воды в сеть</v>
      </c>
      <c r="K91" s="897">
        <f t="shared" si="15"/>
        <v>0</v>
      </c>
      <c r="L91" s="746" t="str">
        <f t="shared" si="16"/>
        <v>13</v>
      </c>
      <c r="M91" s="746" t="str">
        <f t="shared" si="17"/>
        <v>Удельный расход электрической энергии на подачу воды в сеть</v>
      </c>
      <c r="N91" s="746" t="str">
        <f t="shared" si="18"/>
        <v/>
      </c>
      <c r="O91" s="851"/>
      <c r="P91" s="851" t="s">
        <v>153</v>
      </c>
      <c r="Q91" s="851" t="s">
        <v>153</v>
      </c>
      <c r="R91" s="851"/>
      <c r="S91" s="851"/>
      <c r="T91" s="745"/>
      <c r="U91" s="745" t="s">
        <v>691</v>
      </c>
      <c r="V91" s="745" t="s">
        <v>691</v>
      </c>
      <c r="W91" s="745"/>
      <c r="X91" s="745"/>
      <c r="Y91" s="893"/>
      <c r="Z91" s="748"/>
      <c r="AA91" s="751"/>
      <c r="AB91" s="748"/>
      <c r="AC91" s="748"/>
      <c r="AD91" s="748"/>
    </row>
    <row r="92" spans="1:30" ht="27" customHeight="1">
      <c r="A92" s="747"/>
      <c r="B92" s="797">
        <v>75</v>
      </c>
      <c r="C92" s="745"/>
      <c r="D92" s="861" t="s">
        <v>687</v>
      </c>
      <c r="E92" s="745"/>
      <c r="F92" s="745"/>
      <c r="G92" s="745"/>
      <c r="H92" s="788"/>
      <c r="I92" s="897">
        <f t="shared" si="13"/>
        <v>0</v>
      </c>
      <c r="J92" s="897">
        <f t="shared" si="14"/>
        <v>0</v>
      </c>
      <c r="K92" s="897">
        <f t="shared" si="15"/>
        <v>0</v>
      </c>
      <c r="L92" s="746" t="str">
        <f t="shared" si="16"/>
        <v/>
      </c>
      <c r="M92" s="746" t="str">
        <f t="shared" si="17"/>
        <v/>
      </c>
      <c r="N92" s="746" t="str">
        <f t="shared" si="18"/>
        <v/>
      </c>
      <c r="O92" s="851"/>
      <c r="P92" s="851" t="s">
        <v>154</v>
      </c>
      <c r="Q92" s="851"/>
      <c r="R92" s="851"/>
      <c r="S92" s="851"/>
      <c r="T92" s="745"/>
      <c r="U92" s="745" t="s">
        <v>692</v>
      </c>
      <c r="V92" s="745"/>
      <c r="W92" s="745"/>
      <c r="X92" s="745"/>
      <c r="Y92" s="893"/>
      <c r="Z92" s="748"/>
      <c r="AA92" s="751" t="s">
        <v>693</v>
      </c>
      <c r="AB92" s="748"/>
      <c r="AC92" s="748"/>
      <c r="AD92" s="748"/>
    </row>
    <row r="93" spans="1:30" ht="27" customHeight="1">
      <c r="A93" s="747"/>
      <c r="B93" s="797">
        <v>76</v>
      </c>
      <c r="C93" s="745"/>
      <c r="D93" s="861"/>
      <c r="E93" s="745"/>
      <c r="F93" s="745"/>
      <c r="G93" s="745"/>
      <c r="H93" s="788"/>
      <c r="I93" s="897">
        <f t="shared" si="13"/>
        <v>0</v>
      </c>
      <c r="J93" s="897">
        <f t="shared" si="14"/>
        <v>0</v>
      </c>
      <c r="K93" s="897">
        <f t="shared" si="15"/>
        <v>0</v>
      </c>
      <c r="L93" s="746" t="str">
        <f t="shared" si="16"/>
        <v/>
      </c>
      <c r="M93" s="746" t="str">
        <f t="shared" si="17"/>
        <v/>
      </c>
      <c r="N93" s="746" t="str">
        <f t="shared" si="18"/>
        <v/>
      </c>
      <c r="O93" s="851"/>
      <c r="P93" s="851" t="s">
        <v>579</v>
      </c>
      <c r="Q93" s="851"/>
      <c r="R93" s="851"/>
      <c r="S93" s="851"/>
      <c r="T93" s="745"/>
      <c r="U93" s="745" t="s">
        <v>694</v>
      </c>
      <c r="V93" s="745"/>
      <c r="W93" s="745"/>
      <c r="X93" s="745"/>
      <c r="Y93" s="893"/>
      <c r="Z93" s="748"/>
      <c r="AA93" s="751" t="s">
        <v>695</v>
      </c>
      <c r="AB93" s="748"/>
      <c r="AC93" s="748"/>
      <c r="AD93" s="748"/>
    </row>
    <row r="94" spans="1:30" ht="45" customHeight="1">
      <c r="A94" s="747"/>
      <c r="B94" s="797">
        <v>77</v>
      </c>
      <c r="C94" s="745"/>
      <c r="D94" s="861" t="s">
        <v>689</v>
      </c>
      <c r="E94" s="745"/>
      <c r="F94" s="745"/>
      <c r="G94" s="745"/>
      <c r="H94" s="788"/>
      <c r="I94" s="897">
        <f t="shared" si="13"/>
        <v>0</v>
      </c>
      <c r="J94" s="897">
        <f t="shared" si="14"/>
        <v>0</v>
      </c>
      <c r="K94" s="897">
        <f t="shared" si="15"/>
        <v>0</v>
      </c>
      <c r="L94" s="746" t="str">
        <f t="shared" si="16"/>
        <v/>
      </c>
      <c r="M94" s="746" t="str">
        <f t="shared" si="17"/>
        <v/>
      </c>
      <c r="N94" s="746" t="str">
        <f t="shared" si="18"/>
        <v/>
      </c>
      <c r="O94" s="851"/>
      <c r="P94" s="851" t="s">
        <v>696</v>
      </c>
      <c r="Q94" s="851"/>
      <c r="R94" s="851"/>
      <c r="S94" s="851"/>
      <c r="T94" s="745"/>
      <c r="U94" s="745" t="s">
        <v>697</v>
      </c>
      <c r="V94" s="745"/>
      <c r="W94" s="745"/>
      <c r="X94" s="745"/>
      <c r="Y94" s="893"/>
      <c r="Z94" s="748"/>
      <c r="AA94" s="751" t="s">
        <v>698</v>
      </c>
      <c r="AB94" s="748"/>
      <c r="AC94" s="748"/>
      <c r="AD94" s="748"/>
    </row>
    <row r="95" spans="1:30" ht="99" customHeight="1">
      <c r="A95" s="747"/>
      <c r="B95" s="797">
        <v>78</v>
      </c>
      <c r="C95" s="745" t="s">
        <v>699</v>
      </c>
      <c r="D95" s="861"/>
      <c r="E95" s="745"/>
      <c r="F95" s="745"/>
      <c r="G95" s="745"/>
      <c r="H95" s="788"/>
      <c r="I95" s="897">
        <f t="shared" si="13"/>
        <v>0</v>
      </c>
      <c r="J95" s="897">
        <f t="shared" si="14"/>
        <v>0</v>
      </c>
      <c r="K95" s="897">
        <f t="shared" si="15"/>
        <v>0</v>
      </c>
      <c r="L95" s="746" t="str">
        <f t="shared" si="16"/>
        <v/>
      </c>
      <c r="M95" s="746" t="str">
        <f t="shared" si="17"/>
        <v/>
      </c>
      <c r="N95" s="746" t="str">
        <f t="shared" si="18"/>
        <v/>
      </c>
      <c r="O95" s="851" t="s">
        <v>696</v>
      </c>
      <c r="P95" s="851"/>
      <c r="Q95" s="851"/>
      <c r="R95" s="851"/>
      <c r="S95" s="851"/>
      <c r="T95" s="745" t="s">
        <v>700</v>
      </c>
      <c r="U95" s="745"/>
      <c r="V95" s="745"/>
      <c r="W95" s="745"/>
      <c r="X95" s="745"/>
      <c r="Y95" s="893"/>
      <c r="Z95" s="748"/>
      <c r="AA95" s="751"/>
      <c r="AB95" s="748"/>
      <c r="AC95" s="748"/>
      <c r="AD95" s="748"/>
    </row>
    <row r="96" spans="1:30" ht="99" customHeight="1">
      <c r="A96" s="747"/>
      <c r="B96" s="797">
        <v>79</v>
      </c>
      <c r="C96" s="745" t="s">
        <v>701</v>
      </c>
      <c r="D96" s="861"/>
      <c r="E96" s="745"/>
      <c r="F96" s="745"/>
      <c r="G96" s="745"/>
      <c r="H96" s="788"/>
      <c r="I96" s="897">
        <f t="shared" si="13"/>
        <v>0</v>
      </c>
      <c r="J96" s="897">
        <f t="shared" si="14"/>
        <v>0</v>
      </c>
      <c r="K96" s="897">
        <f t="shared" si="15"/>
        <v>0</v>
      </c>
      <c r="L96" s="746" t="str">
        <f t="shared" si="16"/>
        <v/>
      </c>
      <c r="M96" s="746" t="str">
        <f t="shared" si="17"/>
        <v/>
      </c>
      <c r="N96" s="746" t="str">
        <f t="shared" si="18"/>
        <v/>
      </c>
      <c r="O96" s="851" t="s">
        <v>398</v>
      </c>
      <c r="P96" s="851"/>
      <c r="Q96" s="851"/>
      <c r="R96" s="851"/>
      <c r="S96" s="851"/>
      <c r="T96" s="745" t="s">
        <v>702</v>
      </c>
      <c r="U96" s="745"/>
      <c r="V96" s="745"/>
      <c r="W96" s="745"/>
      <c r="X96" s="745"/>
      <c r="Y96" s="893"/>
      <c r="Z96" s="748" t="s">
        <v>703</v>
      </c>
      <c r="AA96" s="751"/>
      <c r="AB96" s="748"/>
      <c r="AC96" s="748"/>
      <c r="AD96" s="748"/>
    </row>
    <row r="97" spans="1:30" ht="63" customHeight="1">
      <c r="A97" s="747"/>
      <c r="B97" s="797">
        <v>80</v>
      </c>
      <c r="C97" s="745" t="s">
        <v>704</v>
      </c>
      <c r="D97" s="861"/>
      <c r="E97" s="745"/>
      <c r="F97" s="745"/>
      <c r="G97" s="745"/>
      <c r="H97" s="788"/>
      <c r="I97" s="897">
        <f t="shared" si="13"/>
        <v>0</v>
      </c>
      <c r="J97" s="897">
        <f t="shared" si="14"/>
        <v>0</v>
      </c>
      <c r="K97" s="897">
        <f t="shared" si="15"/>
        <v>0</v>
      </c>
      <c r="L97" s="746" t="str">
        <f t="shared" si="16"/>
        <v/>
      </c>
      <c r="M97" s="746" t="str">
        <f t="shared" si="17"/>
        <v/>
      </c>
      <c r="N97" s="746" t="str">
        <f t="shared" si="18"/>
        <v/>
      </c>
      <c r="O97" s="851" t="s">
        <v>705</v>
      </c>
      <c r="P97" s="851"/>
      <c r="Q97" s="851"/>
      <c r="R97" s="851"/>
      <c r="S97" s="851"/>
      <c r="T97" s="745" t="s">
        <v>706</v>
      </c>
      <c r="U97" s="745"/>
      <c r="V97" s="745"/>
      <c r="W97" s="745"/>
      <c r="X97" s="745"/>
      <c r="Y97" s="893"/>
      <c r="Z97" s="748" t="s">
        <v>707</v>
      </c>
      <c r="AA97" s="751"/>
      <c r="AB97" s="748"/>
      <c r="AC97" s="748"/>
      <c r="AD97" s="748"/>
    </row>
    <row r="98" spans="1:30" ht="63" customHeight="1">
      <c r="A98" s="747"/>
      <c r="B98" s="797">
        <v>81</v>
      </c>
      <c r="C98" s="745" t="s">
        <v>708</v>
      </c>
      <c r="D98" s="861"/>
      <c r="E98" s="745"/>
      <c r="F98" s="745"/>
      <c r="G98" s="745"/>
      <c r="H98" s="788"/>
      <c r="I98" s="897">
        <f t="shared" si="13"/>
        <v>0</v>
      </c>
      <c r="J98" s="897">
        <f t="shared" si="14"/>
        <v>0</v>
      </c>
      <c r="K98" s="897">
        <f t="shared" si="15"/>
        <v>0</v>
      </c>
      <c r="L98" s="746" t="str">
        <f t="shared" si="16"/>
        <v/>
      </c>
      <c r="M98" s="746" t="str">
        <f t="shared" si="17"/>
        <v/>
      </c>
      <c r="N98" s="746" t="str">
        <f t="shared" si="18"/>
        <v/>
      </c>
      <c r="O98" s="851" t="s">
        <v>709</v>
      </c>
      <c r="P98" s="851"/>
      <c r="Q98" s="851"/>
      <c r="R98" s="851"/>
      <c r="S98" s="851"/>
      <c r="T98" s="745" t="s">
        <v>710</v>
      </c>
      <c r="U98" s="745"/>
      <c r="V98" s="745"/>
      <c r="W98" s="745"/>
      <c r="X98" s="745"/>
      <c r="Y98" s="893"/>
      <c r="Z98" s="748" t="s">
        <v>707</v>
      </c>
      <c r="AA98" s="751"/>
      <c r="AB98" s="748"/>
      <c r="AC98" s="748"/>
      <c r="AD98" s="748"/>
    </row>
    <row r="99" spans="1:30" ht="90" customHeight="1">
      <c r="A99" s="747"/>
      <c r="B99" s="797">
        <v>82</v>
      </c>
      <c r="C99" s="745" t="s">
        <v>711</v>
      </c>
      <c r="D99" s="861"/>
      <c r="E99" s="745"/>
      <c r="F99" s="745"/>
      <c r="G99" s="745"/>
      <c r="H99" s="788"/>
      <c r="I99" s="897">
        <f t="shared" si="13"/>
        <v>0</v>
      </c>
      <c r="J99" s="897">
        <f t="shared" si="14"/>
        <v>0</v>
      </c>
      <c r="K99" s="897">
        <f t="shared" si="15"/>
        <v>0</v>
      </c>
      <c r="L99" s="746" t="str">
        <f t="shared" si="16"/>
        <v/>
      </c>
      <c r="M99" s="746" t="str">
        <f t="shared" si="17"/>
        <v/>
      </c>
      <c r="N99" s="746" t="str">
        <f t="shared" si="18"/>
        <v/>
      </c>
      <c r="O99" s="851" t="s">
        <v>460</v>
      </c>
      <c r="P99" s="851"/>
      <c r="Q99" s="851"/>
      <c r="R99" s="851"/>
      <c r="S99" s="851"/>
      <c r="T99" s="745" t="s">
        <v>712</v>
      </c>
      <c r="U99" s="745"/>
      <c r="V99" s="745"/>
      <c r="W99" s="745"/>
      <c r="X99" s="745"/>
      <c r="Y99" s="893"/>
      <c r="Z99" s="748" t="s">
        <v>713</v>
      </c>
      <c r="AA99" s="751"/>
      <c r="AB99" s="748"/>
      <c r="AC99" s="748"/>
      <c r="AD99" s="748"/>
    </row>
    <row r="100" spans="1:30" ht="27" customHeight="1">
      <c r="A100" s="747"/>
      <c r="B100" s="797">
        <v>83</v>
      </c>
      <c r="C100" s="745"/>
      <c r="D100" s="861"/>
      <c r="E100" s="745"/>
      <c r="F100" s="745"/>
      <c r="G100" s="745"/>
      <c r="H100" s="788"/>
      <c r="I100" s="897">
        <f t="shared" si="13"/>
        <v>0</v>
      </c>
      <c r="J100" s="897">
        <f t="shared" si="14"/>
        <v>0</v>
      </c>
      <c r="K100" s="897">
        <f t="shared" si="15"/>
        <v>0</v>
      </c>
      <c r="L100" s="746" t="str">
        <f t="shared" si="16"/>
        <v/>
      </c>
      <c r="M100" s="746" t="str">
        <f t="shared" si="17"/>
        <v/>
      </c>
      <c r="N100" s="746" t="str">
        <f t="shared" si="18"/>
        <v/>
      </c>
      <c r="O100" s="851" t="s">
        <v>714</v>
      </c>
      <c r="P100" s="851"/>
      <c r="Q100" s="851"/>
      <c r="R100" s="851"/>
      <c r="S100" s="851"/>
      <c r="T100" s="745" t="s">
        <v>715</v>
      </c>
      <c r="U100" s="745"/>
      <c r="V100" s="745"/>
      <c r="W100" s="745"/>
      <c r="X100" s="745"/>
      <c r="Y100" s="893"/>
      <c r="Z100" s="748" t="s">
        <v>713</v>
      </c>
      <c r="AA100" s="751"/>
      <c r="AB100" s="748"/>
      <c r="AC100" s="748"/>
      <c r="AD100" s="748"/>
    </row>
    <row r="101" spans="1:30" ht="27" customHeight="1">
      <c r="A101" s="747"/>
      <c r="B101" s="797">
        <v>84</v>
      </c>
      <c r="C101" s="745"/>
      <c r="D101" s="861"/>
      <c r="E101" s="745"/>
      <c r="F101" s="745"/>
      <c r="G101" s="745"/>
      <c r="H101" s="788"/>
      <c r="I101" s="897">
        <f t="shared" si="13"/>
        <v>0</v>
      </c>
      <c r="J101" s="897">
        <f t="shared" si="14"/>
        <v>0</v>
      </c>
      <c r="K101" s="897">
        <f t="shared" si="15"/>
        <v>0</v>
      </c>
      <c r="L101" s="746" t="str">
        <f t="shared" si="16"/>
        <v/>
      </c>
      <c r="M101" s="746" t="str">
        <f t="shared" si="17"/>
        <v/>
      </c>
      <c r="N101" s="746" t="str">
        <f t="shared" si="18"/>
        <v/>
      </c>
      <c r="O101" s="851" t="s">
        <v>716</v>
      </c>
      <c r="P101" s="851"/>
      <c r="Q101" s="851"/>
      <c r="R101" s="851"/>
      <c r="S101" s="851"/>
      <c r="T101" s="745" t="s">
        <v>717</v>
      </c>
      <c r="U101" s="745"/>
      <c r="V101" s="745"/>
      <c r="W101" s="745"/>
      <c r="X101" s="745"/>
      <c r="Y101" s="893"/>
      <c r="Z101" s="748" t="s">
        <v>713</v>
      </c>
      <c r="AA101" s="751"/>
      <c r="AB101" s="748"/>
      <c r="AC101" s="748"/>
      <c r="AD101" s="748"/>
    </row>
    <row r="102" spans="1:30" ht="9" customHeight="1">
      <c r="A102" s="747"/>
      <c r="B102" s="747"/>
      <c r="C102" s="745"/>
      <c r="D102" s="745"/>
      <c r="E102" s="745"/>
      <c r="F102" s="745"/>
      <c r="G102" s="745"/>
      <c r="H102" s="788"/>
      <c r="I102" s="788"/>
      <c r="J102" s="788"/>
      <c r="K102" s="788"/>
      <c r="L102" s="788"/>
      <c r="M102" s="745"/>
      <c r="N102" s="787"/>
      <c r="O102" s="851"/>
      <c r="P102" s="851"/>
      <c r="Q102" s="851"/>
      <c r="R102" s="851"/>
      <c r="S102" s="745"/>
      <c r="T102" s="745"/>
      <c r="U102" s="745"/>
      <c r="V102" s="745"/>
      <c r="W102" s="745"/>
      <c r="X102" s="745"/>
      <c r="Y102" s="893"/>
      <c r="Z102" s="748"/>
      <c r="AA102" s="751"/>
      <c r="AB102" s="748"/>
      <c r="AC102" s="748"/>
      <c r="AD102" s="748"/>
    </row>
    <row r="103" spans="1:30" ht="9" customHeight="1">
      <c r="A103" s="747"/>
      <c r="B103" s="747"/>
      <c r="C103" s="745"/>
      <c r="D103" s="745"/>
      <c r="E103" s="745"/>
      <c r="F103" s="745"/>
      <c r="G103" s="745"/>
      <c r="H103" s="788"/>
      <c r="I103" s="788"/>
      <c r="J103" s="788"/>
      <c r="K103" s="788"/>
      <c r="L103" s="788"/>
      <c r="M103" s="745"/>
      <c r="N103" s="787"/>
      <c r="O103" s="851"/>
      <c r="P103" s="851"/>
      <c r="Q103" s="851"/>
      <c r="R103" s="851"/>
      <c r="S103" s="745"/>
      <c r="T103" s="745"/>
      <c r="U103" s="745"/>
      <c r="V103" s="745"/>
      <c r="W103" s="745"/>
      <c r="X103" s="745"/>
      <c r="Y103" s="893"/>
      <c r="Z103" s="748"/>
      <c r="AA103" s="751"/>
      <c r="AB103" s="748"/>
      <c r="AC103" s="748"/>
      <c r="AD103" s="748"/>
    </row>
    <row r="104" spans="1:30" ht="9" customHeight="1">
      <c r="A104" s="747"/>
      <c r="B104" s="747"/>
      <c r="C104" s="745"/>
      <c r="D104" s="745"/>
      <c r="E104" s="745"/>
      <c r="F104" s="745"/>
      <c r="G104" s="745"/>
      <c r="H104" s="788"/>
      <c r="I104" s="788"/>
      <c r="J104" s="788"/>
      <c r="K104" s="788"/>
      <c r="L104" s="788"/>
      <c r="M104" s="745"/>
      <c r="N104" s="787"/>
      <c r="O104" s="851"/>
      <c r="P104" s="851"/>
      <c r="Q104" s="851"/>
      <c r="R104" s="851"/>
      <c r="S104" s="745"/>
      <c r="T104" s="745"/>
      <c r="U104" s="745"/>
      <c r="V104" s="745"/>
      <c r="W104" s="745"/>
      <c r="X104" s="745"/>
      <c r="Y104" s="893"/>
      <c r="Z104" s="748"/>
      <c r="AA104" s="751"/>
      <c r="AB104" s="748"/>
      <c r="AC104" s="748"/>
      <c r="AD104" s="748"/>
    </row>
    <row r="105" spans="1:30" ht="9" customHeight="1">
      <c r="A105" s="747"/>
      <c r="B105" s="747"/>
      <c r="C105" s="745"/>
      <c r="D105" s="745"/>
      <c r="E105" s="745"/>
      <c r="F105" s="745"/>
      <c r="G105" s="745"/>
      <c r="H105" s="788"/>
      <c r="I105" s="788"/>
      <c r="J105" s="788"/>
      <c r="K105" s="788"/>
      <c r="L105" s="788"/>
      <c r="M105" s="745"/>
      <c r="N105" s="787"/>
      <c r="O105" s="851"/>
      <c r="P105" s="851"/>
      <c r="Q105" s="851"/>
      <c r="R105" s="851"/>
      <c r="S105" s="745"/>
      <c r="T105" s="745"/>
      <c r="U105" s="745"/>
      <c r="V105" s="745"/>
      <c r="W105" s="745"/>
      <c r="X105" s="745"/>
      <c r="Y105" s="893"/>
      <c r="Z105" s="748"/>
      <c r="AA105" s="751"/>
      <c r="AB105" s="748"/>
      <c r="AC105" s="748"/>
      <c r="AD105" s="748"/>
    </row>
    <row r="106" spans="1:30" ht="9" customHeight="1">
      <c r="A106" s="747"/>
      <c r="B106" s="747"/>
      <c r="C106" s="745"/>
      <c r="D106" s="745"/>
      <c r="E106" s="745"/>
      <c r="F106" s="745"/>
      <c r="G106" s="745"/>
      <c r="H106" s="788"/>
      <c r="I106" s="788"/>
      <c r="J106" s="788"/>
      <c r="K106" s="788"/>
      <c r="L106" s="788"/>
      <c r="M106" s="745"/>
      <c r="N106" s="787"/>
      <c r="O106" s="851"/>
      <c r="P106" s="851"/>
      <c r="Q106" s="851"/>
      <c r="R106" s="851"/>
      <c r="S106" s="745"/>
      <c r="T106" s="745"/>
      <c r="U106" s="745"/>
      <c r="V106" s="745"/>
      <c r="W106" s="745"/>
      <c r="X106" s="745"/>
      <c r="Y106" s="893"/>
      <c r="Z106" s="748"/>
      <c r="AA106" s="751"/>
      <c r="AB106" s="748"/>
      <c r="AC106" s="748"/>
      <c r="AD106" s="748"/>
    </row>
    <row r="107" spans="1:30" ht="9" customHeight="1">
      <c r="A107" s="747"/>
      <c r="B107" s="747"/>
      <c r="C107" s="745"/>
      <c r="D107" s="745"/>
      <c r="E107" s="745"/>
      <c r="F107" s="745"/>
      <c r="G107" s="745"/>
      <c r="H107" s="788"/>
      <c r="I107" s="788"/>
      <c r="J107" s="788"/>
      <c r="K107" s="788"/>
      <c r="L107" s="788"/>
      <c r="M107" s="745"/>
      <c r="N107" s="787"/>
      <c r="O107" s="851"/>
      <c r="P107" s="851"/>
      <c r="Q107" s="851"/>
      <c r="R107" s="851"/>
      <c r="S107" s="745"/>
      <c r="T107" s="745"/>
      <c r="U107" s="745"/>
      <c r="V107" s="745"/>
      <c r="W107" s="745"/>
      <c r="X107" s="745"/>
      <c r="Y107" s="893"/>
      <c r="Z107" s="748"/>
      <c r="AA107" s="751"/>
      <c r="AB107" s="748"/>
      <c r="AC107" s="748"/>
      <c r="AD107" s="748"/>
    </row>
    <row r="108" spans="1:30" ht="9" customHeight="1">
      <c r="A108" s="747"/>
      <c r="B108" s="747"/>
      <c r="C108" s="745"/>
      <c r="D108" s="745"/>
      <c r="E108" s="745"/>
      <c r="F108" s="745"/>
      <c r="G108" s="745"/>
      <c r="H108" s="788"/>
      <c r="I108" s="788"/>
      <c r="J108" s="788"/>
      <c r="K108" s="788"/>
      <c r="L108" s="788"/>
      <c r="M108" s="745"/>
      <c r="N108" s="787"/>
      <c r="O108" s="851"/>
      <c r="P108" s="851"/>
      <c r="Q108" s="851"/>
      <c r="R108" s="851"/>
      <c r="S108" s="745"/>
      <c r="T108" s="745"/>
      <c r="U108" s="745"/>
      <c r="V108" s="745"/>
      <c r="W108" s="745"/>
      <c r="X108" s="745"/>
      <c r="Y108" s="893"/>
      <c r="Z108" s="748"/>
      <c r="AA108" s="751"/>
      <c r="AB108" s="748"/>
      <c r="AC108" s="748"/>
      <c r="AD108" s="748"/>
    </row>
    <row r="109" spans="1:30" ht="9" customHeight="1">
      <c r="A109" s="747"/>
      <c r="B109" s="747"/>
      <c r="C109" s="745"/>
      <c r="D109" s="745"/>
      <c r="E109" s="745"/>
      <c r="F109" s="745"/>
      <c r="G109" s="745"/>
      <c r="H109" s="788"/>
      <c r="I109" s="788"/>
      <c r="J109" s="788"/>
      <c r="K109" s="788"/>
      <c r="L109" s="788"/>
      <c r="M109" s="745"/>
      <c r="N109" s="787"/>
      <c r="O109" s="851"/>
      <c r="P109" s="851"/>
      <c r="Q109" s="851"/>
      <c r="R109" s="851"/>
      <c r="S109" s="745"/>
      <c r="T109" s="745"/>
      <c r="U109" s="745"/>
      <c r="V109" s="745"/>
      <c r="W109" s="745"/>
      <c r="X109" s="745"/>
      <c r="Y109" s="893"/>
      <c r="Z109" s="748"/>
      <c r="AA109" s="751"/>
      <c r="AB109" s="748"/>
      <c r="AC109" s="748"/>
      <c r="AD109" s="748"/>
    </row>
    <row r="110" spans="1:30" ht="9" customHeight="1">
      <c r="A110" s="747"/>
      <c r="B110" s="747"/>
      <c r="C110" s="745"/>
      <c r="D110" s="745"/>
      <c r="E110" s="745"/>
      <c r="F110" s="745"/>
      <c r="G110" s="745"/>
      <c r="H110" s="788"/>
      <c r="I110" s="788"/>
      <c r="J110" s="788"/>
      <c r="K110" s="788"/>
      <c r="L110" s="788"/>
      <c r="M110" s="745"/>
      <c r="N110" s="787"/>
      <c r="O110" s="851"/>
      <c r="P110" s="851"/>
      <c r="Q110" s="851"/>
      <c r="R110" s="851"/>
      <c r="S110" s="745"/>
      <c r="T110" s="745"/>
      <c r="U110" s="745"/>
      <c r="V110" s="745"/>
      <c r="W110" s="745"/>
      <c r="X110" s="745"/>
      <c r="Y110" s="893"/>
      <c r="Z110" s="748"/>
      <c r="AA110" s="751"/>
      <c r="AB110" s="748"/>
      <c r="AC110" s="748"/>
      <c r="AD110" s="748"/>
    </row>
    <row r="111" spans="1:30" ht="9" customHeight="1">
      <c r="A111" s="747"/>
      <c r="B111" s="747"/>
      <c r="C111" s="745"/>
      <c r="D111" s="745"/>
      <c r="E111" s="745"/>
      <c r="F111" s="745"/>
      <c r="G111" s="745"/>
      <c r="H111" s="788"/>
      <c r="I111" s="788"/>
      <c r="J111" s="788"/>
      <c r="K111" s="788"/>
      <c r="L111" s="788"/>
      <c r="M111" s="745"/>
      <c r="N111" s="787"/>
      <c r="O111" s="851"/>
      <c r="P111" s="851"/>
      <c r="Q111" s="851"/>
      <c r="R111" s="851"/>
      <c r="S111" s="745"/>
      <c r="T111" s="745"/>
      <c r="U111" s="745"/>
      <c r="V111" s="745"/>
      <c r="W111" s="745"/>
      <c r="X111" s="745"/>
      <c r="Y111" s="893"/>
      <c r="Z111" s="748"/>
      <c r="AA111" s="751"/>
      <c r="AB111" s="748"/>
      <c r="AC111" s="748"/>
      <c r="AD111" s="748"/>
    </row>
    <row r="112" spans="1:30" ht="9" customHeight="1">
      <c r="A112" s="747"/>
      <c r="B112" s="747"/>
      <c r="C112" s="745"/>
      <c r="D112" s="745"/>
      <c r="E112" s="745"/>
      <c r="F112" s="745"/>
      <c r="G112" s="745"/>
      <c r="H112" s="788"/>
      <c r="I112" s="788"/>
      <c r="J112" s="788"/>
      <c r="K112" s="788"/>
      <c r="L112" s="788"/>
      <c r="M112" s="745"/>
      <c r="N112" s="787"/>
      <c r="O112" s="851"/>
      <c r="P112" s="851"/>
      <c r="Q112" s="851"/>
      <c r="R112" s="851"/>
      <c r="S112" s="745"/>
      <c r="T112" s="745"/>
      <c r="U112" s="745"/>
      <c r="V112" s="745"/>
      <c r="W112" s="745"/>
      <c r="X112" s="745"/>
      <c r="Y112" s="893"/>
      <c r="Z112" s="748"/>
      <c r="AA112" s="751"/>
      <c r="AB112" s="748"/>
      <c r="AC112" s="748"/>
      <c r="AD112" s="748"/>
    </row>
    <row r="113" spans="1:30" ht="9" customHeight="1">
      <c r="A113" s="747"/>
      <c r="B113" s="747"/>
      <c r="C113" s="745"/>
      <c r="D113" s="745"/>
      <c r="E113" s="745"/>
      <c r="F113" s="745"/>
      <c r="G113" s="745"/>
      <c r="H113" s="788"/>
      <c r="I113" s="788"/>
      <c r="J113" s="788"/>
      <c r="K113" s="788"/>
      <c r="L113" s="788"/>
      <c r="M113" s="745"/>
      <c r="N113" s="787"/>
      <c r="O113" s="851"/>
      <c r="P113" s="851"/>
      <c r="Q113" s="851"/>
      <c r="R113" s="851"/>
      <c r="S113" s="745"/>
      <c r="T113" s="745"/>
      <c r="U113" s="745"/>
      <c r="V113" s="745"/>
      <c r="W113" s="745"/>
      <c r="X113" s="745"/>
      <c r="Y113" s="893"/>
      <c r="Z113" s="748"/>
      <c r="AA113" s="751"/>
      <c r="AB113" s="748"/>
      <c r="AC113" s="748"/>
      <c r="AD113" s="748"/>
    </row>
    <row r="114" spans="1:30" ht="9" customHeight="1">
      <c r="A114" s="747"/>
      <c r="B114" s="747"/>
      <c r="C114" s="745"/>
      <c r="D114" s="745"/>
      <c r="E114" s="745"/>
      <c r="F114" s="745"/>
      <c r="G114" s="745"/>
      <c r="H114" s="788"/>
      <c r="I114" s="788"/>
      <c r="J114" s="788"/>
      <c r="K114" s="788"/>
      <c r="L114" s="788"/>
      <c r="M114" s="745"/>
      <c r="N114" s="787"/>
      <c r="O114" s="851"/>
      <c r="P114" s="851"/>
      <c r="Q114" s="851"/>
      <c r="R114" s="851"/>
      <c r="S114" s="745"/>
      <c r="T114" s="745"/>
      <c r="U114" s="745"/>
      <c r="V114" s="745"/>
      <c r="W114" s="745"/>
      <c r="X114" s="745"/>
      <c r="Y114" s="893"/>
      <c r="Z114" s="748"/>
      <c r="AA114" s="751"/>
      <c r="AB114" s="748"/>
      <c r="AC114" s="748"/>
      <c r="AD114" s="748"/>
    </row>
    <row r="115" spans="1:30" ht="9" customHeight="1">
      <c r="A115" s="747"/>
      <c r="B115" s="747"/>
      <c r="C115" s="745"/>
      <c r="D115" s="745"/>
      <c r="E115" s="745"/>
      <c r="F115" s="745"/>
      <c r="G115" s="745"/>
      <c r="H115" s="788"/>
      <c r="I115" s="788"/>
      <c r="J115" s="788"/>
      <c r="K115" s="788"/>
      <c r="L115" s="788"/>
      <c r="M115" s="745"/>
      <c r="N115" s="787"/>
      <c r="O115" s="851"/>
      <c r="P115" s="851"/>
      <c r="Q115" s="851"/>
      <c r="R115" s="851"/>
      <c r="S115" s="745"/>
      <c r="T115" s="745"/>
      <c r="U115" s="745"/>
      <c r="V115" s="745"/>
      <c r="W115" s="745"/>
      <c r="X115" s="745"/>
      <c r="Y115" s="893"/>
      <c r="Z115" s="748"/>
      <c r="AA115" s="751"/>
      <c r="AB115" s="748"/>
      <c r="AC115" s="748"/>
      <c r="AD115" s="748"/>
    </row>
    <row r="116" spans="1:30" ht="9" customHeight="1">
      <c r="A116" s="747"/>
      <c r="B116" s="747"/>
      <c r="C116" s="745"/>
      <c r="D116" s="745"/>
      <c r="E116" s="745"/>
      <c r="F116" s="745"/>
      <c r="G116" s="745"/>
      <c r="H116" s="788"/>
      <c r="I116" s="788"/>
      <c r="J116" s="788"/>
      <c r="K116" s="788"/>
      <c r="L116" s="788"/>
      <c r="M116" s="745"/>
      <c r="N116" s="787"/>
      <c r="O116" s="851"/>
      <c r="P116" s="851"/>
      <c r="Q116" s="851"/>
      <c r="R116" s="851"/>
      <c r="S116" s="745"/>
      <c r="T116" s="745"/>
      <c r="U116" s="745"/>
      <c r="V116" s="745"/>
      <c r="W116" s="745"/>
      <c r="X116" s="745"/>
      <c r="Y116" s="893"/>
      <c r="Z116" s="748"/>
      <c r="AA116" s="751"/>
      <c r="AB116" s="748"/>
      <c r="AC116" s="748"/>
      <c r="AD116" s="748"/>
    </row>
    <row r="117" spans="1:30" ht="9" customHeight="1">
      <c r="A117" s="747"/>
      <c r="B117" s="747"/>
      <c r="C117" s="745"/>
      <c r="D117" s="745"/>
      <c r="E117" s="745"/>
      <c r="F117" s="745"/>
      <c r="G117" s="745"/>
      <c r="H117" s="788"/>
      <c r="I117" s="788"/>
      <c r="J117" s="788"/>
      <c r="K117" s="788"/>
      <c r="L117" s="788"/>
      <c r="M117" s="745"/>
      <c r="N117" s="787"/>
      <c r="O117" s="851"/>
      <c r="P117" s="851"/>
      <c r="Q117" s="851"/>
      <c r="R117" s="851"/>
      <c r="S117" s="745"/>
      <c r="T117" s="745"/>
      <c r="U117" s="745"/>
      <c r="V117" s="745"/>
      <c r="W117" s="745"/>
      <c r="X117" s="745"/>
      <c r="Y117" s="893"/>
      <c r="Z117" s="748"/>
      <c r="AA117" s="751"/>
      <c r="AB117" s="748"/>
      <c r="AC117" s="748"/>
      <c r="AD117" s="748"/>
    </row>
    <row r="118" spans="1:30" ht="9" customHeight="1">
      <c r="A118" s="747"/>
      <c r="B118" s="747"/>
      <c r="C118" s="745"/>
      <c r="D118" s="745"/>
      <c r="E118" s="745"/>
      <c r="F118" s="745"/>
      <c r="G118" s="745"/>
      <c r="H118" s="788"/>
      <c r="I118" s="788"/>
      <c r="J118" s="788"/>
      <c r="K118" s="788"/>
      <c r="L118" s="788"/>
      <c r="M118" s="745"/>
      <c r="N118" s="787"/>
      <c r="O118" s="851"/>
      <c r="P118" s="851"/>
      <c r="Q118" s="851"/>
      <c r="R118" s="851"/>
      <c r="S118" s="745"/>
      <c r="T118" s="745"/>
      <c r="U118" s="745"/>
      <c r="V118" s="745"/>
      <c r="W118" s="745"/>
      <c r="X118" s="745"/>
      <c r="Y118" s="893"/>
      <c r="Z118" s="748"/>
      <c r="AA118" s="751"/>
      <c r="AB118" s="748"/>
      <c r="AC118" s="748"/>
      <c r="AD118" s="748"/>
    </row>
    <row r="119" spans="1:30" ht="9" customHeight="1">
      <c r="A119" s="747"/>
      <c r="B119" s="747"/>
      <c r="C119" s="745"/>
      <c r="D119" s="745"/>
      <c r="E119" s="745"/>
      <c r="F119" s="745"/>
      <c r="G119" s="745"/>
      <c r="H119" s="788"/>
      <c r="I119" s="788"/>
      <c r="J119" s="788"/>
      <c r="K119" s="788"/>
      <c r="L119" s="788"/>
      <c r="M119" s="745"/>
      <c r="N119" s="787"/>
      <c r="O119" s="851"/>
      <c r="P119" s="851"/>
      <c r="Q119" s="851"/>
      <c r="R119" s="851"/>
      <c r="S119" s="745"/>
      <c r="T119" s="745"/>
      <c r="U119" s="745"/>
      <c r="V119" s="745"/>
      <c r="W119" s="745"/>
      <c r="X119" s="745"/>
      <c r="Y119" s="893"/>
      <c r="Z119" s="748"/>
      <c r="AA119" s="751"/>
      <c r="AB119" s="748"/>
      <c r="AC119" s="748"/>
      <c r="AD119" s="748"/>
    </row>
    <row r="120" spans="1:30" ht="9" customHeight="1">
      <c r="A120" s="747"/>
      <c r="B120" s="747"/>
      <c r="C120" s="745"/>
      <c r="D120" s="745"/>
      <c r="E120" s="745"/>
      <c r="F120" s="745"/>
      <c r="G120" s="745"/>
      <c r="H120" s="788"/>
      <c r="I120" s="788"/>
      <c r="J120" s="788"/>
      <c r="K120" s="788"/>
      <c r="L120" s="788"/>
      <c r="M120" s="745"/>
      <c r="N120" s="787"/>
      <c r="O120" s="851"/>
      <c r="P120" s="851"/>
      <c r="Q120" s="851"/>
      <c r="R120" s="851"/>
      <c r="S120" s="745"/>
      <c r="T120" s="745"/>
      <c r="U120" s="745"/>
      <c r="V120" s="745"/>
      <c r="W120" s="745"/>
      <c r="X120" s="745"/>
      <c r="Y120" s="893"/>
      <c r="Z120" s="748"/>
      <c r="AA120" s="751"/>
      <c r="AB120" s="748"/>
      <c r="AC120" s="748"/>
      <c r="AD120" s="748"/>
    </row>
    <row r="121" spans="1:30" ht="9" customHeight="1">
      <c r="A121" s="747"/>
      <c r="B121" s="747"/>
      <c r="C121" s="745"/>
      <c r="D121" s="745"/>
      <c r="E121" s="745"/>
      <c r="F121" s="745"/>
      <c r="G121" s="745"/>
      <c r="H121" s="788"/>
      <c r="I121" s="788"/>
      <c r="J121" s="788"/>
      <c r="K121" s="788"/>
      <c r="L121" s="788"/>
      <c r="M121" s="745"/>
      <c r="N121" s="787"/>
      <c r="O121" s="851"/>
      <c r="P121" s="851"/>
      <c r="Q121" s="851"/>
      <c r="R121" s="851"/>
      <c r="S121" s="745"/>
      <c r="T121" s="745"/>
      <c r="U121" s="745"/>
      <c r="V121" s="745"/>
      <c r="W121" s="745"/>
      <c r="X121" s="745"/>
      <c r="Y121" s="893"/>
      <c r="Z121" s="748"/>
      <c r="AA121" s="751"/>
      <c r="AB121" s="748"/>
      <c r="AC121" s="748"/>
      <c r="AD121" s="748"/>
    </row>
    <row r="122" spans="1:30" ht="9" customHeight="1">
      <c r="A122" s="747"/>
      <c r="B122" s="747"/>
      <c r="C122" s="745"/>
      <c r="D122" s="745"/>
      <c r="E122" s="745"/>
      <c r="F122" s="745"/>
      <c r="G122" s="745"/>
      <c r="H122" s="788"/>
      <c r="I122" s="788"/>
      <c r="J122" s="788"/>
      <c r="K122" s="788"/>
      <c r="L122" s="788"/>
      <c r="M122" s="745"/>
      <c r="N122" s="787"/>
      <c r="O122" s="851"/>
      <c r="P122" s="851"/>
      <c r="Q122" s="851"/>
      <c r="R122" s="851"/>
      <c r="S122" s="745"/>
      <c r="T122" s="745"/>
      <c r="U122" s="745"/>
      <c r="V122" s="745"/>
      <c r="W122" s="745"/>
      <c r="X122" s="745"/>
      <c r="Y122" s="893"/>
      <c r="Z122" s="748"/>
      <c r="AA122" s="751"/>
      <c r="AB122" s="748"/>
      <c r="AC122" s="748"/>
      <c r="AD122" s="748"/>
    </row>
    <row r="123" spans="1:30" ht="9" customHeight="1">
      <c r="A123" s="747"/>
      <c r="B123" s="747"/>
      <c r="C123" s="745"/>
      <c r="D123" s="745"/>
      <c r="E123" s="745"/>
      <c r="F123" s="745"/>
      <c r="G123" s="745"/>
      <c r="H123" s="788"/>
      <c r="I123" s="788"/>
      <c r="J123" s="788"/>
      <c r="K123" s="788"/>
      <c r="L123" s="788"/>
      <c r="M123" s="745"/>
      <c r="N123" s="787"/>
      <c r="O123" s="851"/>
      <c r="P123" s="851"/>
      <c r="Q123" s="851"/>
      <c r="R123" s="851"/>
      <c r="S123" s="745"/>
      <c r="T123" s="745"/>
      <c r="U123" s="745"/>
      <c r="V123" s="745"/>
      <c r="W123" s="745"/>
      <c r="X123" s="745"/>
      <c r="Y123" s="893"/>
      <c r="Z123" s="748"/>
      <c r="AA123" s="751"/>
      <c r="AB123" s="748"/>
      <c r="AC123" s="748"/>
      <c r="AD123" s="748"/>
    </row>
    <row r="124" spans="1:30" ht="9" customHeight="1">
      <c r="A124" s="747"/>
      <c r="B124" s="747"/>
      <c r="C124" s="745"/>
      <c r="D124" s="745"/>
      <c r="E124" s="745"/>
      <c r="F124" s="745"/>
      <c r="G124" s="745"/>
      <c r="H124" s="788"/>
      <c r="I124" s="788"/>
      <c r="J124" s="788"/>
      <c r="K124" s="788"/>
      <c r="L124" s="788"/>
      <c r="M124" s="745"/>
      <c r="N124" s="787"/>
      <c r="O124" s="851"/>
      <c r="P124" s="851"/>
      <c r="Q124" s="851"/>
      <c r="R124" s="851"/>
      <c r="S124" s="745"/>
      <c r="T124" s="745"/>
      <c r="U124" s="745"/>
      <c r="V124" s="745"/>
      <c r="W124" s="745"/>
      <c r="X124" s="745"/>
      <c r="Y124" s="893"/>
      <c r="Z124" s="748"/>
      <c r="AA124" s="751"/>
      <c r="AB124" s="748"/>
      <c r="AC124" s="748"/>
      <c r="AD124" s="748"/>
    </row>
    <row r="125" spans="1:30" ht="9" customHeight="1">
      <c r="A125" s="747"/>
      <c r="B125" s="747"/>
      <c r="C125" s="745"/>
      <c r="D125" s="745"/>
      <c r="E125" s="745"/>
      <c r="F125" s="745"/>
      <c r="G125" s="745"/>
      <c r="H125" s="788"/>
      <c r="I125" s="788"/>
      <c r="J125" s="788"/>
      <c r="K125" s="788"/>
      <c r="L125" s="788"/>
      <c r="M125" s="745"/>
      <c r="N125" s="787"/>
      <c r="O125" s="851"/>
      <c r="P125" s="851"/>
      <c r="Q125" s="851"/>
      <c r="R125" s="851"/>
      <c r="S125" s="745"/>
      <c r="T125" s="745"/>
      <c r="U125" s="745"/>
      <c r="V125" s="745"/>
      <c r="W125" s="745"/>
      <c r="X125" s="745"/>
      <c r="Y125" s="893"/>
      <c r="Z125" s="748"/>
      <c r="AA125" s="751"/>
      <c r="AB125" s="748"/>
      <c r="AC125" s="748"/>
      <c r="AD125" s="748"/>
    </row>
    <row r="126" spans="1:30" ht="9" customHeight="1">
      <c r="A126" s="747"/>
      <c r="B126" s="747"/>
      <c r="C126" s="745"/>
      <c r="D126" s="745"/>
      <c r="E126" s="745"/>
      <c r="F126" s="745"/>
      <c r="G126" s="745"/>
      <c r="H126" s="788"/>
      <c r="I126" s="788"/>
      <c r="J126" s="788"/>
      <c r="K126" s="788"/>
      <c r="L126" s="788"/>
      <c r="M126" s="745"/>
      <c r="N126" s="787"/>
      <c r="O126" s="851"/>
      <c r="P126" s="851"/>
      <c r="Q126" s="851"/>
      <c r="R126" s="851"/>
      <c r="S126" s="745"/>
      <c r="T126" s="745"/>
      <c r="U126" s="745"/>
      <c r="V126" s="745"/>
      <c r="W126" s="745"/>
      <c r="X126" s="745"/>
      <c r="Y126" s="893"/>
      <c r="Z126" s="748"/>
      <c r="AA126" s="751"/>
      <c r="AB126" s="748"/>
      <c r="AC126" s="748"/>
      <c r="AD126" s="748"/>
    </row>
    <row r="127" spans="1:30" ht="9" customHeight="1">
      <c r="A127" s="747"/>
      <c r="B127" s="747"/>
      <c r="C127" s="745"/>
      <c r="D127" s="745"/>
      <c r="E127" s="745"/>
      <c r="F127" s="745"/>
      <c r="G127" s="745"/>
      <c r="H127" s="788"/>
      <c r="I127" s="788"/>
      <c r="J127" s="788"/>
      <c r="K127" s="788"/>
      <c r="L127" s="788"/>
      <c r="M127" s="745"/>
      <c r="N127" s="787"/>
      <c r="O127" s="851"/>
      <c r="P127" s="851"/>
      <c r="Q127" s="851"/>
      <c r="R127" s="851"/>
      <c r="S127" s="745"/>
      <c r="T127" s="745"/>
      <c r="U127" s="745"/>
      <c r="V127" s="745"/>
      <c r="W127" s="745"/>
      <c r="X127" s="745"/>
      <c r="Y127" s="893"/>
      <c r="Z127" s="748"/>
      <c r="AA127" s="751"/>
      <c r="AB127" s="748"/>
      <c r="AC127" s="748"/>
      <c r="AD127" s="748"/>
    </row>
    <row r="128" spans="1:30" ht="9" customHeight="1">
      <c r="A128" s="747"/>
      <c r="B128" s="747"/>
      <c r="C128" s="745"/>
      <c r="D128" s="745"/>
      <c r="E128" s="745"/>
      <c r="F128" s="745"/>
      <c r="G128" s="745"/>
      <c r="H128" s="788"/>
      <c r="I128" s="788"/>
      <c r="J128" s="788"/>
      <c r="K128" s="788"/>
      <c r="L128" s="788"/>
      <c r="M128" s="745"/>
      <c r="N128" s="787"/>
      <c r="O128" s="851"/>
      <c r="P128" s="851"/>
      <c r="Q128" s="851"/>
      <c r="R128" s="851"/>
      <c r="S128" s="745"/>
      <c r="T128" s="745"/>
      <c r="U128" s="745"/>
      <c r="V128" s="745"/>
      <c r="W128" s="745"/>
      <c r="X128" s="745"/>
      <c r="Y128" s="893"/>
      <c r="Z128" s="748"/>
      <c r="AA128" s="751"/>
      <c r="AB128" s="748"/>
      <c r="AC128" s="748"/>
      <c r="AD128" s="748"/>
    </row>
    <row r="129" spans="1:30" ht="9" customHeight="1">
      <c r="A129" s="747"/>
      <c r="B129" s="747"/>
      <c r="C129" s="745"/>
      <c r="D129" s="745"/>
      <c r="E129" s="745"/>
      <c r="F129" s="745"/>
      <c r="G129" s="745"/>
      <c r="H129" s="788"/>
      <c r="I129" s="788"/>
      <c r="J129" s="788"/>
      <c r="K129" s="788"/>
      <c r="L129" s="788"/>
      <c r="M129" s="745"/>
      <c r="N129" s="787"/>
      <c r="O129" s="851"/>
      <c r="P129" s="851"/>
      <c r="Q129" s="851"/>
      <c r="R129" s="851"/>
      <c r="S129" s="745"/>
      <c r="T129" s="745"/>
      <c r="U129" s="745"/>
      <c r="V129" s="745"/>
      <c r="W129" s="745"/>
      <c r="X129" s="745"/>
      <c r="Y129" s="893"/>
      <c r="Z129" s="748"/>
      <c r="AA129" s="751"/>
      <c r="AB129" s="748"/>
      <c r="AC129" s="748"/>
      <c r="AD129" s="748"/>
    </row>
    <row r="130" spans="1:30" ht="9" customHeight="1">
      <c r="A130" s="747"/>
      <c r="B130" s="747"/>
      <c r="C130" s="745"/>
      <c r="D130" s="745"/>
      <c r="E130" s="745"/>
      <c r="F130" s="745"/>
      <c r="G130" s="745"/>
      <c r="H130" s="788"/>
      <c r="I130" s="788"/>
      <c r="J130" s="788"/>
      <c r="K130" s="788"/>
      <c r="L130" s="788"/>
      <c r="M130" s="745"/>
      <c r="N130" s="787"/>
      <c r="O130" s="853"/>
      <c r="P130" s="853"/>
      <c r="Q130" s="853"/>
      <c r="R130" s="853"/>
      <c r="S130" s="745"/>
      <c r="T130" s="745"/>
      <c r="U130" s="745"/>
      <c r="V130" s="745"/>
      <c r="W130" s="745"/>
      <c r="X130" s="745"/>
      <c r="Y130" s="893"/>
      <c r="Z130" s="748"/>
      <c r="AA130" s="751"/>
      <c r="AB130" s="748"/>
      <c r="AC130" s="748"/>
      <c r="AD130" s="748"/>
    </row>
    <row r="131" spans="1:30" ht="9" customHeight="1">
      <c r="A131" s="747"/>
      <c r="B131" s="747"/>
      <c r="C131" s="745"/>
      <c r="D131" s="745"/>
      <c r="E131" s="745"/>
      <c r="F131" s="745"/>
      <c r="G131" s="745"/>
      <c r="H131" s="788"/>
      <c r="I131" s="788"/>
      <c r="J131" s="788"/>
      <c r="K131" s="788"/>
      <c r="L131" s="788"/>
      <c r="M131" s="745"/>
      <c r="N131" s="787"/>
      <c r="O131" s="854"/>
      <c r="P131" s="854"/>
      <c r="Q131" s="854"/>
      <c r="R131" s="854"/>
      <c r="S131" s="745"/>
      <c r="T131" s="745"/>
      <c r="U131" s="745"/>
      <c r="V131" s="745"/>
      <c r="W131" s="745"/>
      <c r="X131" s="745"/>
      <c r="Y131" s="893"/>
      <c r="Z131" s="748"/>
      <c r="AA131" s="751"/>
      <c r="AB131" s="748"/>
      <c r="AC131" s="748"/>
      <c r="AD131" s="748"/>
    </row>
    <row r="132" spans="1:30" ht="9" customHeight="1">
      <c r="A132" s="747"/>
      <c r="B132" s="747"/>
      <c r="C132" s="745"/>
      <c r="D132" s="745"/>
      <c r="E132" s="745"/>
      <c r="F132" s="745"/>
      <c r="G132" s="745"/>
      <c r="H132" s="788"/>
      <c r="I132" s="788"/>
      <c r="J132" s="788"/>
      <c r="K132" s="788"/>
      <c r="L132" s="788"/>
      <c r="M132" s="745"/>
      <c r="N132" s="787"/>
      <c r="O132" s="853"/>
      <c r="P132" s="853"/>
      <c r="Q132" s="853"/>
      <c r="R132" s="853"/>
      <c r="S132" s="745"/>
      <c r="T132" s="745"/>
      <c r="U132" s="745"/>
      <c r="V132" s="745"/>
      <c r="W132" s="745"/>
      <c r="X132" s="745"/>
      <c r="Y132" s="893"/>
      <c r="Z132" s="748"/>
      <c r="AA132" s="751"/>
      <c r="AB132" s="748"/>
      <c r="AC132" s="748"/>
      <c r="AD132" s="748"/>
    </row>
    <row r="133" spans="1:30" ht="9" customHeight="1">
      <c r="A133" s="747"/>
      <c r="B133" s="747"/>
      <c r="C133" s="745"/>
      <c r="D133" s="745"/>
      <c r="E133" s="745"/>
      <c r="F133" s="745"/>
      <c r="G133" s="745"/>
      <c r="H133" s="788"/>
      <c r="I133" s="788"/>
      <c r="J133" s="788"/>
      <c r="K133" s="788"/>
      <c r="L133" s="788"/>
      <c r="M133" s="745"/>
      <c r="N133" s="787"/>
      <c r="O133" s="854"/>
      <c r="P133" s="854"/>
      <c r="Q133" s="854"/>
      <c r="R133" s="854"/>
      <c r="S133" s="745"/>
      <c r="T133" s="745"/>
      <c r="U133" s="745"/>
      <c r="V133" s="745"/>
      <c r="W133" s="745"/>
      <c r="X133" s="745"/>
      <c r="Y133" s="893"/>
      <c r="Z133" s="748"/>
      <c r="AA133" s="751"/>
      <c r="AB133" s="748"/>
      <c r="AC133" s="748"/>
      <c r="AD133" s="748"/>
    </row>
    <row r="134" spans="1:30" ht="9" customHeight="1">
      <c r="A134" s="747"/>
      <c r="B134" s="747"/>
      <c r="C134" s="745"/>
      <c r="D134" s="745"/>
      <c r="E134" s="745"/>
      <c r="F134" s="745"/>
      <c r="G134" s="745"/>
      <c r="H134" s="788"/>
      <c r="I134" s="788"/>
      <c r="J134" s="788"/>
      <c r="K134" s="788"/>
      <c r="L134" s="788"/>
      <c r="M134" s="745"/>
      <c r="N134" s="787"/>
      <c r="O134" s="851"/>
      <c r="P134" s="851"/>
      <c r="Q134" s="851"/>
      <c r="R134" s="851"/>
      <c r="S134" s="745"/>
      <c r="T134" s="745"/>
      <c r="U134" s="745"/>
      <c r="V134" s="745"/>
      <c r="W134" s="745"/>
      <c r="X134" s="745"/>
      <c r="Y134" s="893"/>
      <c r="Z134" s="748"/>
      <c r="AA134" s="751"/>
      <c r="AB134" s="748"/>
      <c r="AC134" s="748"/>
      <c r="AD134" s="748"/>
    </row>
    <row r="135" spans="1:30" ht="9" customHeight="1">
      <c r="A135" s="747"/>
      <c r="B135" s="747"/>
      <c r="C135" s="745"/>
      <c r="D135" s="745"/>
      <c r="E135" s="745"/>
      <c r="F135" s="745"/>
      <c r="G135" s="745"/>
      <c r="H135" s="788"/>
      <c r="I135" s="788"/>
      <c r="J135" s="788"/>
      <c r="K135" s="788"/>
      <c r="L135" s="788"/>
      <c r="M135" s="745"/>
      <c r="N135" s="787"/>
      <c r="O135" s="851"/>
      <c r="P135" s="851"/>
      <c r="Q135" s="851"/>
      <c r="R135" s="851"/>
      <c r="S135" s="745"/>
      <c r="T135" s="745"/>
      <c r="U135" s="745"/>
      <c r="V135" s="745"/>
      <c r="W135" s="745"/>
      <c r="X135" s="745"/>
      <c r="Y135" s="893"/>
      <c r="Z135" s="748"/>
      <c r="AA135" s="751"/>
      <c r="AB135" s="748"/>
      <c r="AC135" s="748"/>
      <c r="AD135" s="748"/>
    </row>
    <row r="136" spans="1:30" ht="9" customHeight="1">
      <c r="A136" s="747"/>
      <c r="B136" s="747"/>
      <c r="C136" s="745"/>
      <c r="D136" s="745"/>
      <c r="E136" s="745"/>
      <c r="F136" s="745"/>
      <c r="G136" s="745"/>
      <c r="H136" s="788"/>
      <c r="I136" s="788"/>
      <c r="J136" s="788"/>
      <c r="K136" s="788"/>
      <c r="L136" s="788"/>
      <c r="M136" s="745"/>
      <c r="N136" s="787"/>
      <c r="O136" s="851"/>
      <c r="P136" s="851"/>
      <c r="Q136" s="851"/>
      <c r="R136" s="851"/>
      <c r="S136" s="745"/>
      <c r="T136" s="745"/>
      <c r="U136" s="745"/>
      <c r="V136" s="745"/>
      <c r="W136" s="745"/>
      <c r="X136" s="745"/>
      <c r="Y136" s="893"/>
      <c r="Z136" s="748"/>
      <c r="AA136" s="751"/>
      <c r="AB136" s="748"/>
      <c r="AC136" s="748"/>
      <c r="AD136" s="748"/>
    </row>
    <row r="137" spans="1:30" ht="9" customHeight="1">
      <c r="A137" s="747"/>
      <c r="B137" s="747"/>
      <c r="C137" s="745"/>
      <c r="D137" s="745"/>
      <c r="E137" s="745"/>
      <c r="F137" s="745"/>
      <c r="G137" s="745"/>
      <c r="H137" s="788"/>
      <c r="I137" s="788"/>
      <c r="J137" s="788"/>
      <c r="K137" s="788"/>
      <c r="L137" s="788"/>
      <c r="M137" s="745"/>
      <c r="N137" s="787"/>
      <c r="O137" s="855"/>
      <c r="P137" s="855"/>
      <c r="Q137" s="855"/>
      <c r="R137" s="855"/>
      <c r="S137" s="745"/>
      <c r="T137" s="745"/>
      <c r="U137" s="745"/>
      <c r="V137" s="745"/>
      <c r="W137" s="745"/>
      <c r="X137" s="745"/>
      <c r="Y137" s="893"/>
      <c r="Z137" s="748"/>
      <c r="AA137" s="751"/>
      <c r="AB137" s="748"/>
      <c r="AC137" s="748"/>
      <c r="AD137" s="748"/>
    </row>
    <row r="138" spans="1:30" ht="9" customHeight="1">
      <c r="A138" s="747"/>
      <c r="B138" s="747"/>
      <c r="C138" s="745"/>
      <c r="D138" s="745"/>
      <c r="E138" s="745"/>
      <c r="F138" s="745"/>
      <c r="G138" s="745"/>
      <c r="H138" s="788"/>
      <c r="I138" s="788"/>
      <c r="J138" s="788"/>
      <c r="K138" s="788"/>
      <c r="L138" s="788"/>
      <c r="M138" s="745"/>
      <c r="N138" s="787"/>
      <c r="O138" s="852"/>
      <c r="P138" s="852"/>
      <c r="Q138" s="852"/>
      <c r="R138" s="852"/>
      <c r="S138" s="745"/>
      <c r="T138" s="745"/>
      <c r="U138" s="745"/>
      <c r="V138" s="745"/>
      <c r="W138" s="745"/>
      <c r="X138" s="745"/>
      <c r="Y138" s="893"/>
      <c r="Z138" s="748"/>
      <c r="AA138" s="751"/>
      <c r="AB138" s="748"/>
      <c r="AC138" s="748"/>
      <c r="AD138" s="748"/>
    </row>
    <row r="139" spans="1:30" ht="9" customHeight="1">
      <c r="A139" s="747"/>
      <c r="B139" s="747"/>
      <c r="C139" s="745"/>
      <c r="D139" s="745"/>
      <c r="E139" s="745"/>
      <c r="F139" s="745"/>
      <c r="G139" s="745"/>
      <c r="H139" s="788"/>
      <c r="I139" s="788"/>
      <c r="J139" s="788"/>
      <c r="K139" s="788"/>
      <c r="L139" s="788"/>
      <c r="M139" s="745"/>
      <c r="N139" s="787"/>
      <c r="O139" s="745"/>
      <c r="P139" s="745"/>
      <c r="Q139" s="745"/>
      <c r="R139" s="745"/>
      <c r="S139" s="745"/>
      <c r="T139" s="745"/>
      <c r="U139" s="745"/>
      <c r="V139" s="745"/>
      <c r="W139" s="745"/>
      <c r="X139" s="745"/>
      <c r="Y139" s="893"/>
      <c r="Z139" s="748"/>
      <c r="AA139" s="751"/>
      <c r="AB139" s="748"/>
      <c r="AC139" s="748"/>
      <c r="AD139" s="748"/>
    </row>
    <row r="140" spans="1:30" ht="9" customHeight="1">
      <c r="A140" s="747"/>
      <c r="B140" s="747"/>
      <c r="C140" s="745"/>
      <c r="D140" s="745"/>
      <c r="E140" s="745"/>
      <c r="F140" s="745"/>
      <c r="G140" s="745"/>
      <c r="H140" s="788"/>
      <c r="I140" s="788"/>
      <c r="J140" s="788"/>
      <c r="K140" s="788"/>
      <c r="L140" s="788"/>
      <c r="M140" s="745"/>
      <c r="N140" s="787"/>
      <c r="O140" s="745"/>
      <c r="P140" s="745"/>
      <c r="Q140" s="745"/>
      <c r="R140" s="745"/>
      <c r="S140" s="745"/>
      <c r="T140" s="745"/>
      <c r="U140" s="745"/>
      <c r="V140" s="745"/>
      <c r="W140" s="745"/>
      <c r="X140" s="745"/>
      <c r="Y140" s="893"/>
      <c r="Z140" s="748"/>
      <c r="AA140" s="751"/>
      <c r="AB140" s="748"/>
      <c r="AC140" s="748"/>
      <c r="AD140" s="748"/>
    </row>
    <row r="141" spans="1:30" ht="9" customHeight="1">
      <c r="A141" s="747"/>
      <c r="B141" s="747"/>
      <c r="C141" s="745"/>
      <c r="D141" s="745"/>
      <c r="E141" s="745"/>
      <c r="F141" s="745"/>
      <c r="G141" s="745"/>
      <c r="H141" s="788"/>
      <c r="I141" s="788"/>
      <c r="J141" s="788"/>
      <c r="K141" s="788"/>
      <c r="L141" s="788"/>
      <c r="M141" s="745"/>
      <c r="N141" s="787"/>
      <c r="O141" s="745"/>
      <c r="P141" s="745"/>
      <c r="Q141" s="745"/>
      <c r="R141" s="745"/>
      <c r="S141" s="745"/>
      <c r="T141" s="745"/>
      <c r="U141" s="745"/>
      <c r="V141" s="745"/>
      <c r="W141" s="745"/>
      <c r="X141" s="745"/>
      <c r="Y141" s="893"/>
      <c r="Z141" s="748"/>
      <c r="AA141" s="751"/>
      <c r="AB141" s="748"/>
      <c r="AC141" s="748"/>
      <c r="AD141" s="748"/>
    </row>
    <row r="142" spans="1:30" ht="9" customHeight="1">
      <c r="A142" s="747"/>
      <c r="B142" s="747"/>
      <c r="C142" s="745"/>
      <c r="D142" s="745"/>
      <c r="E142" s="745"/>
      <c r="F142" s="745"/>
      <c r="G142" s="745"/>
      <c r="H142" s="788"/>
      <c r="I142" s="788"/>
      <c r="J142" s="788"/>
      <c r="K142" s="788"/>
      <c r="L142" s="788"/>
      <c r="M142" s="745"/>
      <c r="N142" s="787"/>
      <c r="O142" s="745"/>
      <c r="P142" s="745"/>
      <c r="Q142" s="745"/>
      <c r="R142" s="745"/>
      <c r="S142" s="745"/>
      <c r="T142" s="745"/>
      <c r="U142" s="745"/>
      <c r="V142" s="745"/>
      <c r="W142" s="745"/>
      <c r="X142" s="745"/>
      <c r="Y142" s="893"/>
      <c r="Z142" s="748"/>
      <c r="AA142" s="751"/>
      <c r="AB142" s="748"/>
      <c r="AC142" s="748"/>
      <c r="AD142" s="748"/>
    </row>
    <row r="143" spans="1:30" ht="9" customHeight="1">
      <c r="A143" s="747"/>
      <c r="B143" s="747"/>
      <c r="C143" s="745"/>
      <c r="D143" s="745"/>
      <c r="E143" s="745"/>
      <c r="F143" s="745"/>
      <c r="G143" s="745"/>
      <c r="H143" s="788"/>
      <c r="I143" s="788"/>
      <c r="J143" s="788"/>
      <c r="K143" s="788"/>
      <c r="L143" s="788"/>
      <c r="M143" s="745"/>
      <c r="N143" s="787"/>
      <c r="O143" s="745"/>
      <c r="P143" s="745"/>
      <c r="Q143" s="745"/>
      <c r="R143" s="745"/>
      <c r="S143" s="745"/>
      <c r="T143" s="745"/>
      <c r="U143" s="745"/>
      <c r="V143" s="745"/>
      <c r="W143" s="745"/>
      <c r="X143" s="745"/>
      <c r="Y143" s="893"/>
      <c r="Z143" s="748"/>
      <c r="AA143" s="751"/>
      <c r="AB143" s="748"/>
      <c r="AC143" s="748"/>
      <c r="AD143" s="748"/>
    </row>
    <row r="144" spans="1:30" ht="9" customHeight="1">
      <c r="A144" s="747"/>
      <c r="B144" s="747"/>
      <c r="C144" s="745"/>
      <c r="D144" s="745"/>
      <c r="E144" s="745"/>
      <c r="F144" s="745"/>
      <c r="G144" s="745"/>
      <c r="H144" s="788"/>
      <c r="I144" s="788"/>
      <c r="J144" s="788"/>
      <c r="K144" s="788"/>
      <c r="L144" s="788"/>
      <c r="M144" s="745"/>
      <c r="N144" s="787"/>
      <c r="O144" s="745"/>
      <c r="P144" s="745"/>
      <c r="Q144" s="745"/>
      <c r="R144" s="745"/>
      <c r="S144" s="745"/>
      <c r="T144" s="745"/>
      <c r="U144" s="745"/>
      <c r="V144" s="745"/>
      <c r="W144" s="745"/>
      <c r="X144" s="745"/>
      <c r="Y144" s="893"/>
      <c r="Z144" s="748"/>
      <c r="AA144" s="751"/>
      <c r="AB144" s="748"/>
      <c r="AC144" s="748"/>
      <c r="AD144" s="748"/>
    </row>
    <row r="145" spans="1:30" ht="9" customHeight="1">
      <c r="A145" s="747"/>
      <c r="B145" s="747"/>
      <c r="C145" s="745"/>
      <c r="D145" s="745"/>
      <c r="E145" s="745"/>
      <c r="F145" s="745"/>
      <c r="G145" s="745"/>
      <c r="H145" s="788"/>
      <c r="I145" s="788"/>
      <c r="J145" s="788"/>
      <c r="K145" s="788"/>
      <c r="L145" s="788"/>
      <c r="M145" s="745"/>
      <c r="N145" s="787"/>
      <c r="O145" s="745"/>
      <c r="P145" s="745"/>
      <c r="Q145" s="745"/>
      <c r="R145" s="745"/>
      <c r="S145" s="745"/>
      <c r="T145" s="745"/>
      <c r="U145" s="745"/>
      <c r="V145" s="745"/>
      <c r="W145" s="745"/>
      <c r="X145" s="745"/>
      <c r="Y145" s="893"/>
      <c r="Z145" s="748"/>
      <c r="AA145" s="751"/>
      <c r="AB145" s="748"/>
      <c r="AC145" s="748"/>
      <c r="AD145" s="748"/>
    </row>
    <row r="146" spans="1:30" ht="9" customHeight="1">
      <c r="A146" s="747"/>
      <c r="B146" s="747"/>
      <c r="C146" s="745"/>
      <c r="D146" s="745"/>
      <c r="E146" s="745"/>
      <c r="F146" s="745"/>
      <c r="G146" s="745"/>
      <c r="H146" s="788"/>
      <c r="I146" s="788"/>
      <c r="J146" s="788"/>
      <c r="K146" s="788"/>
      <c r="L146" s="788"/>
      <c r="M146" s="745"/>
      <c r="N146" s="787"/>
      <c r="O146" s="745"/>
      <c r="P146" s="745"/>
      <c r="Q146" s="745"/>
      <c r="R146" s="745"/>
      <c r="S146" s="745"/>
      <c r="T146" s="745"/>
      <c r="U146" s="745"/>
      <c r="V146" s="745"/>
      <c r="W146" s="745"/>
      <c r="X146" s="745"/>
      <c r="Y146" s="893"/>
      <c r="Z146" s="748"/>
      <c r="AA146" s="751"/>
      <c r="AB146" s="748"/>
      <c r="AC146" s="748"/>
      <c r="AD146" s="748"/>
    </row>
    <row r="147" spans="1:30" ht="9" customHeight="1">
      <c r="A147" s="747"/>
      <c r="B147" s="747"/>
      <c r="C147" s="747"/>
      <c r="D147" s="747"/>
      <c r="E147" s="747"/>
      <c r="F147" s="747"/>
      <c r="G147" s="747"/>
      <c r="H147" s="747"/>
      <c r="I147" s="747"/>
      <c r="J147" s="747"/>
      <c r="K147" s="747"/>
      <c r="L147" s="747"/>
      <c r="M147" s="747"/>
      <c r="N147" s="747"/>
      <c r="O147" s="747"/>
      <c r="P147" s="747"/>
      <c r="Q147" s="747"/>
      <c r="R147" s="747"/>
      <c r="S147" s="747"/>
      <c r="T147" s="747"/>
      <c r="U147" s="747"/>
      <c r="V147" s="747"/>
      <c r="W147" s="747"/>
      <c r="X147" s="747"/>
      <c r="Y147" s="747"/>
      <c r="Z147" s="747"/>
      <c r="AA147" s="747"/>
      <c r="AB147" s="747"/>
      <c r="AC147" s="747"/>
      <c r="AD147" s="747"/>
    </row>
    <row r="148" spans="1:30" ht="90" customHeight="1">
      <c r="A148" s="747" t="s">
        <v>718</v>
      </c>
      <c r="B148" s="747"/>
      <c r="C148" s="745" t="s">
        <v>719</v>
      </c>
      <c r="D148" s="745" t="s">
        <v>720</v>
      </c>
      <c r="E148" s="745" t="s">
        <v>721</v>
      </c>
      <c r="F148" s="745" t="s">
        <v>722</v>
      </c>
      <c r="G148" s="745"/>
      <c r="H148" s="745"/>
      <c r="I148" s="857"/>
      <c r="J148" s="857"/>
      <c r="K148" s="857"/>
      <c r="L148" s="857"/>
      <c r="M148" s="790" t="str">
        <f>IF(TEMPLATE_SPHERE="HEAT",T148,IF(TEMPLATE_SPHERE="TKO",X148,U148))</f>
        <v>Сведения об условиях публичных договоров поставок товаров (оказания услуг), тарифы на которые подлежат регулированию, в том числе договоров о подключении (технологическом присоединении) к централизованной системе горячего водоснабжения</v>
      </c>
      <c r="N148" s="750"/>
      <c r="O148" s="745"/>
      <c r="P148" s="746"/>
      <c r="Q148" s="746"/>
      <c r="R148" s="746"/>
      <c r="S148" s="745"/>
      <c r="T148" s="745" t="s">
        <v>723</v>
      </c>
      <c r="U148" s="746" t="str">
        <f>"Сведения об условиях публичных договоров поставок товаров (оказания услуг), тарифы на которые подлежат регулированию, в том числе договоров о подключении (технологическом присоединении) к централизованной системе "&amp;TEMPLATE_SPHERE_RUS</f>
        <v>Сведения об условиях публичных договоров поставок товаров (оказания услуг), тарифы на которые подлежат регулированию, в том числе договоров о подключении (технологическом присоединении) к централизованной системе горячего водоснабжения</v>
      </c>
      <c r="V148" s="746"/>
      <c r="W148" s="746"/>
      <c r="X148" s="745" t="s">
        <v>724</v>
      </c>
      <c r="Y148" s="893"/>
      <c r="Z148" s="748"/>
      <c r="AA148" s="751"/>
      <c r="AB148" s="748"/>
      <c r="AC148" s="748"/>
      <c r="AD148" s="748"/>
    </row>
    <row r="149" spans="1:30" ht="9" customHeight="1">
      <c r="A149" s="747"/>
      <c r="B149" s="747"/>
      <c r="C149" s="747"/>
      <c r="D149" s="747"/>
      <c r="E149" s="747"/>
      <c r="F149" s="747"/>
      <c r="G149" s="747"/>
      <c r="H149" s="747"/>
      <c r="I149" s="747"/>
      <c r="J149" s="747"/>
      <c r="K149" s="747"/>
      <c r="L149" s="747"/>
      <c r="M149" s="747"/>
      <c r="N149" s="747"/>
      <c r="O149" s="747"/>
      <c r="P149" s="747"/>
      <c r="Q149" s="747"/>
      <c r="R149" s="747"/>
      <c r="S149" s="747"/>
      <c r="T149" s="747"/>
      <c r="U149" s="747"/>
      <c r="V149" s="747"/>
      <c r="W149" s="747"/>
      <c r="X149" s="747"/>
      <c r="Y149" s="747"/>
      <c r="Z149" s="747"/>
      <c r="AA149" s="747"/>
      <c r="AB149" s="747"/>
      <c r="AC149" s="747"/>
      <c r="AD149" s="747"/>
    </row>
    <row r="150" spans="1:30" ht="9" customHeight="1">
      <c r="A150" s="747" t="s">
        <v>725</v>
      </c>
      <c r="B150" s="747"/>
      <c r="C150" s="745"/>
      <c r="D150" s="745"/>
      <c r="E150" s="745"/>
      <c r="F150" s="745"/>
      <c r="G150" s="745"/>
      <c r="H150" s="745"/>
      <c r="I150" s="745"/>
      <c r="J150" s="745"/>
      <c r="K150" s="745"/>
      <c r="L150" s="745"/>
      <c r="M150" s="745"/>
      <c r="N150" s="745"/>
      <c r="O150" s="745"/>
      <c r="P150" s="745"/>
      <c r="Q150" s="745"/>
      <c r="R150" s="745"/>
      <c r="S150" s="745"/>
      <c r="T150" s="745"/>
      <c r="U150" s="745"/>
      <c r="V150" s="745"/>
      <c r="W150" s="745"/>
      <c r="X150" s="745"/>
      <c r="Y150" s="893"/>
      <c r="Z150" s="748"/>
      <c r="AA150" s="751"/>
      <c r="AB150" s="748"/>
      <c r="AC150" s="748"/>
      <c r="AD150" s="748"/>
    </row>
    <row r="151" spans="1:30" ht="9" customHeight="1">
      <c r="A151" s="747"/>
      <c r="B151" s="747"/>
      <c r="C151" s="747"/>
      <c r="D151" s="747"/>
      <c r="E151" s="747"/>
      <c r="F151" s="747"/>
      <c r="G151" s="747"/>
      <c r="H151" s="747"/>
      <c r="I151" s="747"/>
      <c r="J151" s="747"/>
      <c r="K151" s="747"/>
      <c r="L151" s="747"/>
      <c r="M151" s="747"/>
      <c r="N151" s="747"/>
      <c r="O151" s="747"/>
      <c r="P151" s="747"/>
      <c r="Q151" s="747"/>
      <c r="R151" s="747"/>
      <c r="S151" s="747"/>
      <c r="T151" s="747"/>
      <c r="U151" s="747"/>
      <c r="V151" s="747"/>
      <c r="W151" s="747"/>
      <c r="X151" s="747"/>
      <c r="Y151" s="747"/>
      <c r="Z151" s="747"/>
      <c r="AA151" s="747"/>
      <c r="AB151" s="747"/>
      <c r="AC151" s="747"/>
      <c r="AD151" s="747"/>
    </row>
    <row r="152" spans="1:30" ht="9" customHeight="1">
      <c r="A152" s="747" t="s">
        <v>726</v>
      </c>
      <c r="B152" s="747"/>
      <c r="C152" s="745"/>
      <c r="D152" s="745"/>
      <c r="E152" s="745"/>
      <c r="F152" s="745"/>
      <c r="G152" s="745"/>
      <c r="H152" s="745"/>
      <c r="I152" s="745"/>
      <c r="J152" s="745"/>
      <c r="K152" s="745"/>
      <c r="L152" s="745"/>
      <c r="M152" s="745"/>
      <c r="N152" s="745"/>
      <c r="O152" s="745"/>
      <c r="P152" s="745"/>
      <c r="Q152" s="745"/>
      <c r="R152" s="745"/>
      <c r="S152" s="745"/>
      <c r="T152" s="745"/>
      <c r="U152" s="745"/>
      <c r="V152" s="745"/>
      <c r="W152" s="745"/>
      <c r="X152" s="745"/>
      <c r="Y152" s="893"/>
      <c r="Z152" s="748"/>
      <c r="AA152" s="751"/>
      <c r="AB152" s="748"/>
      <c r="AC152" s="748"/>
      <c r="AD152" s="748"/>
    </row>
    <row r="153" spans="1:30" ht="9" customHeight="1">
      <c r="A153" s="747"/>
      <c r="B153" s="747"/>
      <c r="C153" s="747"/>
      <c r="D153" s="747"/>
      <c r="E153" s="747"/>
      <c r="F153" s="747"/>
      <c r="G153" s="747"/>
      <c r="H153" s="747"/>
      <c r="I153" s="747"/>
      <c r="J153" s="747"/>
      <c r="K153" s="747"/>
      <c r="L153" s="747"/>
      <c r="M153" s="747"/>
      <c r="N153" s="747"/>
      <c r="O153" s="747"/>
      <c r="P153" s="747"/>
      <c r="Q153" s="747"/>
      <c r="R153" s="747"/>
      <c r="S153" s="747"/>
      <c r="T153" s="747"/>
      <c r="U153" s="747"/>
      <c r="V153" s="747"/>
      <c r="W153" s="747"/>
      <c r="X153" s="747"/>
      <c r="Y153" s="747"/>
      <c r="Z153" s="747"/>
      <c r="AA153" s="747"/>
      <c r="AB153" s="747"/>
      <c r="AC153" s="747"/>
      <c r="AD153" s="747"/>
    </row>
    <row r="154" spans="1:30" ht="9" customHeight="1">
      <c r="A154" s="747" t="s">
        <v>727</v>
      </c>
      <c r="B154" s="747"/>
      <c r="C154" s="745"/>
      <c r="D154" s="745"/>
      <c r="E154" s="745"/>
      <c r="F154" s="745"/>
      <c r="G154" s="745"/>
      <c r="H154" s="745"/>
      <c r="I154" s="745"/>
      <c r="J154" s="745"/>
      <c r="K154" s="745"/>
      <c r="L154" s="745"/>
      <c r="M154" s="745"/>
      <c r="N154" s="745"/>
      <c r="O154" s="745"/>
      <c r="P154" s="745"/>
      <c r="Q154" s="745"/>
      <c r="R154" s="745"/>
      <c r="S154" s="745"/>
      <c r="T154" s="745"/>
      <c r="U154" s="745"/>
      <c r="V154" s="745"/>
      <c r="W154" s="745"/>
      <c r="X154" s="745"/>
      <c r="Y154" s="893"/>
      <c r="Z154" s="748"/>
      <c r="AA154" s="751"/>
      <c r="AB154" s="748"/>
      <c r="AC154" s="748"/>
      <c r="AD154" s="748"/>
    </row>
  </sheetData>
  <sheetProtection insertRows="0" deleteColumns="0" deleteRows="0" sort="0" autoFilter="0"/>
  <mergeCells count="12">
    <mergeCell ref="T1:X1"/>
    <mergeCell ref="Z1:AD1"/>
    <mergeCell ref="A11:A15"/>
    <mergeCell ref="H13:H14"/>
    <mergeCell ref="H15:H16"/>
    <mergeCell ref="C3:F3"/>
    <mergeCell ref="C11:C16"/>
    <mergeCell ref="D11:D16"/>
    <mergeCell ref="E11:E16"/>
    <mergeCell ref="F11:F16"/>
    <mergeCell ref="G11:G16"/>
    <mergeCell ref="O1:S1"/>
  </mergeCells>
  <pageMargins left="0.7" right="0.7" top="0.75" bottom="0.75" header="0.3" footer="0.3"/>
  <pageSetup paperSize="9" orientation="portrait"/>
  <headerFooter>
    <oddHeader>&amp;L&amp;C&amp;R</oddHeader>
    <oddFooter>&amp;L&amp;C&amp;R</oddFooter>
    <evenHeader>&amp;L&amp;C&amp;R</evenHeader>
    <evenFooter>&amp;L&amp;C&amp;R</evenFooter>
  </headerFooter>
  <legacyDrawing r:id="rId1"/>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rgb="FFFFCC99"/>
  </sheetPr>
  <dimension ref="A1:CD118"/>
  <sheetViews>
    <sheetView showGridLines="0" workbookViewId="0"/>
  </sheetViews>
  <sheetFormatPr defaultColWidth="9.140625" defaultRowHeight="11.25" customHeight="1"/>
  <cols>
    <col min="1" max="1" width="32.5703125" style="1716" customWidth="1"/>
    <col min="2" max="2" width="11" style="1969" customWidth="1"/>
    <col min="3" max="3" width="9.140625" style="1969"/>
    <col min="4" max="4" width="26.5703125" style="1969" customWidth="1"/>
    <col min="5" max="5" width="27.7109375" style="1797" customWidth="1"/>
    <col min="6" max="6" width="23.5703125" style="1797" customWidth="1"/>
    <col min="7" max="7" width="31.42578125" style="1797" customWidth="1"/>
    <col min="8" max="8" width="40.85546875" style="1797" customWidth="1"/>
    <col min="9" max="9" width="14.5703125" style="1797" customWidth="1"/>
    <col min="10" max="10" width="26.85546875" style="1797" customWidth="1"/>
    <col min="11" max="11" width="50" style="1797" customWidth="1"/>
    <col min="12" max="13" width="10.7109375" style="1797" customWidth="1"/>
    <col min="14" max="14" width="55.140625" style="1797" customWidth="1"/>
    <col min="15" max="15" width="31.85546875" style="1797" customWidth="1"/>
    <col min="16" max="16" width="23.85546875" style="1797" customWidth="1"/>
    <col min="17" max="17" width="46.5703125" style="1797" customWidth="1"/>
    <col min="18" max="18" width="24" style="1797" customWidth="1"/>
    <col min="19" max="19" width="20.5703125" style="1797" customWidth="1"/>
    <col min="20" max="20" width="22" style="1797" customWidth="1"/>
    <col min="21" max="22" width="26.42578125" style="1797" customWidth="1"/>
    <col min="23" max="23" width="8.28515625" style="1797" hidden="1" customWidth="1"/>
    <col min="24" max="24" width="59.7109375" style="1797" customWidth="1"/>
    <col min="25" max="25" width="49.140625" style="1797" customWidth="1"/>
    <col min="26" max="26" width="11.140625" style="1797" customWidth="1"/>
    <col min="27" max="30" width="29" style="1797" customWidth="1"/>
    <col min="31" max="31" width="9.140625" style="1797"/>
    <col min="32" max="32" width="34.7109375" style="1797" customWidth="1"/>
    <col min="33" max="33" width="9.140625" style="1797"/>
    <col min="34" max="35" width="34.42578125" style="1797" customWidth="1"/>
    <col min="36" max="36" width="9.140625" style="1797"/>
    <col min="37" max="37" width="24.5703125" style="1797" customWidth="1"/>
    <col min="38" max="38" width="9.140625" style="1797"/>
    <col min="39" max="39" width="26.140625" style="1797" customWidth="1"/>
    <col min="40" max="40" width="1.7109375" style="1797" customWidth="1"/>
    <col min="41" max="41" width="9.140625" style="1797"/>
    <col min="42" max="43" width="47.85546875" style="1797" customWidth="1"/>
    <col min="44" max="44" width="1.7109375" style="1797" customWidth="1"/>
    <col min="45" max="45" width="21.42578125" style="1797" customWidth="1"/>
    <col min="46" max="46" width="1.7109375" style="1797" customWidth="1"/>
    <col min="47" max="47" width="31.28515625" style="1797" customWidth="1"/>
    <col min="48" max="48" width="1.7109375" style="1797" customWidth="1"/>
    <col min="49" max="50" width="9.140625" style="1797"/>
    <col min="51" max="51" width="3.7109375" style="1797" customWidth="1"/>
    <col min="52" max="52" width="55" style="1797" customWidth="1"/>
    <col min="53" max="53" width="9.140625" style="1797"/>
    <col min="54" max="54" width="35.140625" style="1797" customWidth="1"/>
    <col min="55" max="55" width="9.140625" style="1797"/>
    <col min="56" max="56" width="1.7109375" style="1797" customWidth="1"/>
    <col min="57" max="57" width="12.5703125" style="1694" customWidth="1"/>
    <col min="58" max="58" width="14.28515625" style="1694" customWidth="1"/>
    <col min="59" max="59" width="30.7109375" style="1797" customWidth="1"/>
    <col min="60" max="60" width="40.7109375" style="1912" customWidth="1"/>
    <col min="61" max="61" width="15" style="1912" customWidth="1"/>
    <col min="62" max="62" width="40.7109375" style="1912" customWidth="1"/>
    <col min="63" max="63" width="2.7109375" style="1912" customWidth="1"/>
    <col min="64" max="64" width="44.7109375" style="1912" customWidth="1"/>
    <col min="65" max="65" width="2.7109375" style="1912" customWidth="1"/>
    <col min="66" max="66" width="40.7109375" style="1912" customWidth="1"/>
    <col min="67" max="68" width="9.140625" style="1797"/>
    <col min="69" max="69" width="18.140625" style="1797" customWidth="1"/>
    <col min="70" max="70" width="57.85546875" style="1797" customWidth="1"/>
    <col min="71" max="71" width="1.7109375" style="1797" customWidth="1"/>
    <col min="72" max="72" width="22.5703125" style="1797" customWidth="1"/>
    <col min="73" max="73" width="57.85546875" style="1797" customWidth="1"/>
    <col min="74" max="74" width="1.7109375" style="1797" customWidth="1"/>
    <col min="75" max="75" width="22.5703125" style="1797" customWidth="1"/>
    <col min="76" max="76" width="57.85546875" style="1797" customWidth="1"/>
    <col min="77" max="77" width="1.7109375" style="1797" customWidth="1"/>
    <col min="78" max="78" width="22.5703125" style="1797" customWidth="1"/>
    <col min="79" max="79" width="57.85546875" style="1797" customWidth="1"/>
    <col min="80" max="81" width="9.140625" style="1797"/>
    <col min="82" max="82" width="49.5703125" style="1797" customWidth="1"/>
  </cols>
  <sheetData>
    <row r="1" spans="1:79" s="1657" customFormat="1" ht="11.25" customHeight="1">
      <c r="A1" s="950" t="s">
        <v>728</v>
      </c>
      <c r="B1" s="950" t="s">
        <v>729</v>
      </c>
      <c r="C1" s="950" t="s">
        <v>730</v>
      </c>
      <c r="D1" s="950" t="s">
        <v>731</v>
      </c>
      <c r="E1" s="950" t="s">
        <v>732</v>
      </c>
      <c r="F1" s="950" t="s">
        <v>733</v>
      </c>
      <c r="G1" s="950" t="s">
        <v>734</v>
      </c>
      <c r="H1" s="950" t="s">
        <v>735</v>
      </c>
      <c r="I1" s="950" t="s">
        <v>736</v>
      </c>
      <c r="J1" s="950" t="s">
        <v>737</v>
      </c>
      <c r="K1" s="950" t="s">
        <v>738</v>
      </c>
      <c r="L1" s="950"/>
      <c r="M1" s="950"/>
      <c r="N1" s="950" t="s">
        <v>739</v>
      </c>
      <c r="O1" s="950" t="s">
        <v>740</v>
      </c>
      <c r="P1" s="950" t="s">
        <v>741</v>
      </c>
      <c r="Q1" s="950" t="s">
        <v>742</v>
      </c>
      <c r="R1" s="950" t="s">
        <v>743</v>
      </c>
      <c r="S1" s="950" t="s">
        <v>744</v>
      </c>
      <c r="T1" s="950" t="s">
        <v>745</v>
      </c>
      <c r="U1" s="950" t="s">
        <v>746</v>
      </c>
      <c r="V1" s="950"/>
      <c r="W1" s="703" t="s">
        <v>747</v>
      </c>
      <c r="X1" s="950" t="s">
        <v>748</v>
      </c>
      <c r="Y1" s="950" t="s">
        <v>749</v>
      </c>
      <c r="Z1" s="950"/>
      <c r="AA1" s="950" t="s">
        <v>750</v>
      </c>
      <c r="AB1" s="950"/>
      <c r="AC1" s="950" t="s">
        <v>751</v>
      </c>
      <c r="AD1" s="950"/>
      <c r="AF1" s="950" t="s">
        <v>752</v>
      </c>
      <c r="AH1" s="950" t="s">
        <v>753</v>
      </c>
      <c r="AI1" s="950" t="s">
        <v>754</v>
      </c>
      <c r="AK1" s="950" t="s">
        <v>755</v>
      </c>
      <c r="AM1" s="950" t="s">
        <v>756</v>
      </c>
      <c r="AP1" s="950" t="s">
        <v>757</v>
      </c>
      <c r="AQ1" s="950" t="s">
        <v>758</v>
      </c>
      <c r="AS1" s="950" t="s">
        <v>759</v>
      </c>
      <c r="AU1" s="950" t="s">
        <v>760</v>
      </c>
      <c r="AW1" s="950" t="s">
        <v>761</v>
      </c>
      <c r="AX1" s="950" t="s">
        <v>762</v>
      </c>
      <c r="AZ1" s="1026" t="s">
        <v>763</v>
      </c>
      <c r="BB1" s="950" t="s">
        <v>764</v>
      </c>
      <c r="BC1" s="950"/>
      <c r="BE1" s="950" t="s">
        <v>765</v>
      </c>
      <c r="BF1" s="950" t="s">
        <v>766</v>
      </c>
      <c r="BH1" s="952" t="s">
        <v>392</v>
      </c>
      <c r="BI1" s="953"/>
      <c r="BJ1" s="954" t="s">
        <v>767</v>
      </c>
      <c r="BK1" s="953"/>
      <c r="BL1" s="955" t="s">
        <v>394</v>
      </c>
      <c r="BM1" s="953"/>
      <c r="BN1" s="956" t="s">
        <v>768</v>
      </c>
      <c r="BS1" s="1294"/>
    </row>
    <row r="2" spans="1:79" ht="11.25" customHeight="1">
      <c r="A2" s="957" t="s">
        <v>769</v>
      </c>
      <c r="B2" s="958">
        <v>2000</v>
      </c>
      <c r="C2" s="958">
        <v>2022</v>
      </c>
      <c r="D2" s="958" t="s">
        <v>62</v>
      </c>
      <c r="E2" s="959" t="s">
        <v>770</v>
      </c>
      <c r="F2" s="959" t="s">
        <v>771</v>
      </c>
      <c r="G2" s="959" t="s">
        <v>772</v>
      </c>
      <c r="H2" s="960" t="s">
        <v>53</v>
      </c>
      <c r="I2" s="959" t="s">
        <v>108</v>
      </c>
      <c r="J2" s="959" t="s">
        <v>773</v>
      </c>
      <c r="K2" s="961" t="s">
        <v>774</v>
      </c>
      <c r="L2" s="962" t="s">
        <v>774</v>
      </c>
      <c r="M2" s="961">
        <v>1</v>
      </c>
      <c r="N2" s="1036" t="s">
        <v>775</v>
      </c>
      <c r="O2" s="960" t="s">
        <v>776</v>
      </c>
      <c r="P2" s="963" t="s">
        <v>32</v>
      </c>
      <c r="Q2" s="964" t="s">
        <v>777</v>
      </c>
      <c r="R2" s="73" t="s">
        <v>778</v>
      </c>
      <c r="S2" s="73" t="s">
        <v>779</v>
      </c>
      <c r="T2" s="965" t="s">
        <v>780</v>
      </c>
      <c r="U2" s="962" t="s">
        <v>781</v>
      </c>
      <c r="V2" s="966">
        <v>1</v>
      </c>
      <c r="W2" s="967"/>
      <c r="X2" s="967" t="s">
        <v>782</v>
      </c>
      <c r="Y2" s="958" t="s">
        <v>783</v>
      </c>
      <c r="Z2" s="968"/>
      <c r="AA2" s="958" t="s">
        <v>784</v>
      </c>
      <c r="AB2" s="969" t="s">
        <v>784</v>
      </c>
      <c r="AC2" s="958" t="s">
        <v>785</v>
      </c>
      <c r="AD2" s="969" t="s">
        <v>785</v>
      </c>
      <c r="AF2" s="960" t="s">
        <v>781</v>
      </c>
      <c r="AH2" s="959" t="s">
        <v>786</v>
      </c>
      <c r="AI2" s="959" t="s">
        <v>786</v>
      </c>
      <c r="AK2" s="959" t="s">
        <v>787</v>
      </c>
      <c r="AM2" s="959" t="s">
        <v>788</v>
      </c>
      <c r="AP2" s="970" t="s">
        <v>782</v>
      </c>
      <c r="AQ2" s="971" t="s">
        <v>782</v>
      </c>
      <c r="AS2" s="958" t="s">
        <v>789</v>
      </c>
      <c r="AU2" s="1001" t="s">
        <v>790</v>
      </c>
      <c r="AW2" s="1001" t="s">
        <v>791</v>
      </c>
      <c r="AX2" s="1001" t="s">
        <v>791</v>
      </c>
      <c r="AZ2" s="1001" t="s">
        <v>792</v>
      </c>
      <c r="BB2" s="1001" t="s">
        <v>793</v>
      </c>
      <c r="BC2" s="1001" t="s">
        <v>794</v>
      </c>
      <c r="BE2" s="1001">
        <v>2000</v>
      </c>
      <c r="BF2" s="1001" t="s">
        <v>795</v>
      </c>
    </row>
    <row r="3" spans="1:79" ht="11.25" customHeight="1">
      <c r="A3" s="957" t="s">
        <v>796</v>
      </c>
      <c r="B3" s="958">
        <v>2001</v>
      </c>
      <c r="C3" s="958">
        <v>2023</v>
      </c>
      <c r="D3" s="958" t="s">
        <v>55</v>
      </c>
      <c r="E3" s="959" t="s">
        <v>797</v>
      </c>
      <c r="F3" s="959" t="s">
        <v>798</v>
      </c>
      <c r="G3" s="959" t="s">
        <v>799</v>
      </c>
      <c r="H3" s="960" t="s">
        <v>800</v>
      </c>
      <c r="I3" s="959" t="s">
        <v>109</v>
      </c>
      <c r="J3" s="959" t="s">
        <v>801</v>
      </c>
      <c r="K3" s="961" t="s">
        <v>802</v>
      </c>
      <c r="L3" s="961" t="s">
        <v>802</v>
      </c>
      <c r="M3" s="961">
        <v>2</v>
      </c>
      <c r="N3" s="1036" t="s">
        <v>803</v>
      </c>
      <c r="O3" s="960" t="s">
        <v>804</v>
      </c>
      <c r="P3" s="963" t="s">
        <v>805</v>
      </c>
      <c r="Q3" s="964" t="s">
        <v>806</v>
      </c>
      <c r="R3" s="73" t="s">
        <v>807</v>
      </c>
      <c r="S3" s="73" t="s">
        <v>808</v>
      </c>
      <c r="T3" s="965" t="s">
        <v>809</v>
      </c>
      <c r="U3" s="962" t="s">
        <v>810</v>
      </c>
      <c r="V3" s="966">
        <v>2</v>
      </c>
      <c r="W3" s="967"/>
      <c r="X3" s="967" t="s">
        <v>811</v>
      </c>
      <c r="Y3" s="958" t="s">
        <v>783</v>
      </c>
      <c r="Z3" s="968"/>
      <c r="AA3" s="958" t="s">
        <v>812</v>
      </c>
      <c r="AB3" s="969" t="s">
        <v>812</v>
      </c>
      <c r="AC3" s="958" t="s">
        <v>813</v>
      </c>
      <c r="AD3" s="969" t="s">
        <v>813</v>
      </c>
      <c r="AF3" s="960" t="s">
        <v>810</v>
      </c>
      <c r="AH3" s="959" t="s">
        <v>814</v>
      </c>
      <c r="AI3" s="959" t="s">
        <v>815</v>
      </c>
      <c r="AK3" s="959" t="s">
        <v>816</v>
      </c>
      <c r="AM3" s="959" t="s">
        <v>817</v>
      </c>
      <c r="AP3" s="970" t="s">
        <v>818</v>
      </c>
      <c r="AQ3" s="971" t="s">
        <v>818</v>
      </c>
      <c r="AS3" s="958" t="s">
        <v>819</v>
      </c>
      <c r="AU3" s="1001" t="s">
        <v>820</v>
      </c>
      <c r="AW3" s="1001" t="s">
        <v>821</v>
      </c>
      <c r="AX3" s="1001" t="s">
        <v>821</v>
      </c>
      <c r="AZ3" s="1001" t="s">
        <v>822</v>
      </c>
      <c r="BB3" s="1001" t="s">
        <v>823</v>
      </c>
      <c r="BC3" s="1001" t="s">
        <v>794</v>
      </c>
      <c r="BE3" s="1001">
        <v>2001</v>
      </c>
      <c r="BF3" s="1001" t="s">
        <v>824</v>
      </c>
      <c r="BH3" s="950" t="s">
        <v>825</v>
      </c>
      <c r="BJ3" s="950" t="s">
        <v>826</v>
      </c>
      <c r="BL3" s="950" t="s">
        <v>827</v>
      </c>
      <c r="BN3" s="950" t="s">
        <v>828</v>
      </c>
      <c r="BR3" s="950" t="s">
        <v>829</v>
      </c>
      <c r="BS3" s="1295"/>
      <c r="BT3" s="953"/>
      <c r="BU3" s="950" t="s">
        <v>830</v>
      </c>
      <c r="BV3" s="953"/>
      <c r="BW3" s="1547"/>
      <c r="BX3" s="1549" t="s">
        <v>831</v>
      </c>
      <c r="CA3" s="950" t="s">
        <v>832</v>
      </c>
    </row>
    <row r="4" spans="1:79" ht="11.25" customHeight="1">
      <c r="A4" s="957" t="s">
        <v>833</v>
      </c>
      <c r="B4" s="958">
        <v>2002</v>
      </c>
      <c r="C4" s="958">
        <v>2024</v>
      </c>
      <c r="E4" s="959" t="s">
        <v>834</v>
      </c>
      <c r="F4" s="959" t="s">
        <v>835</v>
      </c>
      <c r="H4" s="960" t="s">
        <v>836</v>
      </c>
      <c r="I4" s="959" t="s">
        <v>89</v>
      </c>
      <c r="J4" s="959" t="s">
        <v>837</v>
      </c>
      <c r="K4" s="961" t="s">
        <v>838</v>
      </c>
      <c r="L4" s="961" t="s">
        <v>838</v>
      </c>
      <c r="M4" s="961">
        <v>3</v>
      </c>
      <c r="N4" s="1036" t="s">
        <v>839</v>
      </c>
      <c r="O4" s="959" t="s">
        <v>840</v>
      </c>
      <c r="Q4" s="964" t="s">
        <v>841</v>
      </c>
      <c r="R4" s="73" t="s">
        <v>842</v>
      </c>
      <c r="S4" s="73" t="s">
        <v>843</v>
      </c>
      <c r="T4" s="965" t="s">
        <v>844</v>
      </c>
      <c r="U4" s="962" t="s">
        <v>845</v>
      </c>
      <c r="V4" s="966">
        <v>3</v>
      </c>
      <c r="W4" s="967"/>
      <c r="X4" s="967" t="s">
        <v>846</v>
      </c>
      <c r="Y4" s="958" t="s">
        <v>783</v>
      </c>
      <c r="Z4" s="973"/>
      <c r="AC4" s="958" t="s">
        <v>847</v>
      </c>
      <c r="AD4" s="969" t="s">
        <v>847</v>
      </c>
      <c r="AF4" s="960" t="s">
        <v>845</v>
      </c>
      <c r="AH4" s="960" t="s">
        <v>848</v>
      </c>
      <c r="AK4" s="959" t="s">
        <v>849</v>
      </c>
      <c r="AM4" s="959" t="s">
        <v>850</v>
      </c>
      <c r="AP4" s="970" t="s">
        <v>811</v>
      </c>
      <c r="AQ4" s="971" t="s">
        <v>811</v>
      </c>
      <c r="AS4" s="958" t="s">
        <v>851</v>
      </c>
      <c r="AU4" s="1001" t="s">
        <v>852</v>
      </c>
      <c r="AW4" s="1001" t="s">
        <v>853</v>
      </c>
      <c r="AX4" s="1001" t="s">
        <v>853</v>
      </c>
      <c r="AZ4" s="1001" t="s">
        <v>854</v>
      </c>
      <c r="BB4" s="1001" t="s">
        <v>855</v>
      </c>
      <c r="BC4" s="1001" t="s">
        <v>856</v>
      </c>
      <c r="BE4" s="1001">
        <v>2002</v>
      </c>
      <c r="BF4" s="1001" t="s">
        <v>857</v>
      </c>
      <c r="BH4" s="951" t="s">
        <v>858</v>
      </c>
      <c r="BJ4" s="951" t="s">
        <v>858</v>
      </c>
      <c r="BL4" s="951" t="s">
        <v>858</v>
      </c>
      <c r="BN4" s="951" t="s">
        <v>858</v>
      </c>
      <c r="BQ4" s="1299" t="s">
        <v>859</v>
      </c>
      <c r="BR4" s="1033" t="s">
        <v>860</v>
      </c>
      <c r="BS4" s="192"/>
      <c r="BT4" s="1299" t="s">
        <v>861</v>
      </c>
      <c r="BU4" s="1033" t="s">
        <v>862</v>
      </c>
      <c r="BV4" s="953"/>
      <c r="BW4" s="1554" t="s">
        <v>863</v>
      </c>
      <c r="BX4" s="1548" t="s">
        <v>864</v>
      </c>
      <c r="BZ4" s="1299" t="s">
        <v>865</v>
      </c>
      <c r="CA4" s="1033" t="s">
        <v>866</v>
      </c>
    </row>
    <row r="5" spans="1:79" ht="11.25" customHeight="1">
      <c r="A5" s="957" t="s">
        <v>14</v>
      </c>
      <c r="B5" s="958">
        <v>2003</v>
      </c>
      <c r="C5" s="958">
        <v>2025</v>
      </c>
      <c r="E5" s="959" t="s">
        <v>867</v>
      </c>
      <c r="F5" s="959" t="s">
        <v>868</v>
      </c>
      <c r="H5" s="960" t="s">
        <v>869</v>
      </c>
      <c r="I5" s="959" t="s">
        <v>90</v>
      </c>
      <c r="K5" s="961" t="s">
        <v>870</v>
      </c>
      <c r="L5" s="961" t="s">
        <v>870</v>
      </c>
      <c r="M5" s="961">
        <v>4</v>
      </c>
      <c r="N5" s="974" t="s">
        <v>871</v>
      </c>
      <c r="O5" s="959" t="s">
        <v>872</v>
      </c>
      <c r="Q5" s="964" t="s">
        <v>873</v>
      </c>
      <c r="R5" s="73" t="s">
        <v>874</v>
      </c>
      <c r="T5" s="960" t="s">
        <v>875</v>
      </c>
      <c r="U5" s="962" t="s">
        <v>876</v>
      </c>
      <c r="V5" s="966">
        <v>4</v>
      </c>
      <c r="W5" s="967"/>
      <c r="X5" s="967" t="s">
        <v>169</v>
      </c>
      <c r="Y5" s="958" t="s">
        <v>877</v>
      </c>
      <c r="Z5" s="973">
        <v>1</v>
      </c>
      <c r="AF5" s="960" t="s">
        <v>878</v>
      </c>
      <c r="AH5" s="959" t="s">
        <v>879</v>
      </c>
      <c r="AK5" s="959" t="s">
        <v>880</v>
      </c>
      <c r="AM5" s="959" t="s">
        <v>881</v>
      </c>
      <c r="AP5" s="970" t="s">
        <v>169</v>
      </c>
      <c r="AQ5" s="971" t="s">
        <v>169</v>
      </c>
      <c r="AU5" s="1001" t="s">
        <v>882</v>
      </c>
      <c r="AW5" s="1001" t="s">
        <v>883</v>
      </c>
      <c r="AX5" s="1001" t="s">
        <v>883</v>
      </c>
      <c r="AZ5" s="1001" t="s">
        <v>884</v>
      </c>
      <c r="BB5" s="1001" t="s">
        <v>885</v>
      </c>
      <c r="BC5" s="1001" t="s">
        <v>886</v>
      </c>
      <c r="BE5" s="1001">
        <v>2003</v>
      </c>
      <c r="BF5" s="1001" t="s">
        <v>887</v>
      </c>
      <c r="BH5" s="951" t="s">
        <v>888</v>
      </c>
      <c r="BJ5" s="951" t="s">
        <v>888</v>
      </c>
      <c r="BL5" s="951" t="s">
        <v>888</v>
      </c>
      <c r="BN5" s="951" t="s">
        <v>889</v>
      </c>
      <c r="BQ5" s="1162">
        <v>4213775</v>
      </c>
      <c r="BR5" s="951" t="s">
        <v>782</v>
      </c>
      <c r="BS5" s="1296"/>
      <c r="BT5" s="1162">
        <v>64236871</v>
      </c>
      <c r="BU5" s="951" t="s">
        <v>221</v>
      </c>
      <c r="BV5" s="953"/>
      <c r="BW5" s="1552">
        <v>4213767</v>
      </c>
      <c r="BX5" s="1550" t="s">
        <v>890</v>
      </c>
      <c r="BZ5" s="1162">
        <v>64237509</v>
      </c>
      <c r="CA5" s="1176" t="s">
        <v>891</v>
      </c>
    </row>
    <row r="6" spans="1:79" ht="11.25" customHeight="1">
      <c r="A6" s="957" t="s">
        <v>892</v>
      </c>
      <c r="B6" s="958">
        <v>2004</v>
      </c>
      <c r="C6" s="958">
        <v>2026</v>
      </c>
      <c r="E6" s="959" t="s">
        <v>893</v>
      </c>
      <c r="F6" s="975"/>
      <c r="H6" s="960" t="s">
        <v>894</v>
      </c>
      <c r="I6" s="959" t="s">
        <v>110</v>
      </c>
      <c r="J6" s="950" t="s">
        <v>895</v>
      </c>
      <c r="N6" s="974" t="s">
        <v>896</v>
      </c>
      <c r="O6" s="959" t="s">
        <v>897</v>
      </c>
      <c r="R6" s="73" t="s">
        <v>777</v>
      </c>
      <c r="T6" s="960" t="s">
        <v>898</v>
      </c>
      <c r="U6" s="962" t="s">
        <v>878</v>
      </c>
      <c r="V6" s="966">
        <v>5</v>
      </c>
      <c r="W6" s="967"/>
      <c r="X6" s="958" t="s">
        <v>175</v>
      </c>
      <c r="Y6" s="958" t="s">
        <v>899</v>
      </c>
      <c r="Z6" s="973"/>
      <c r="AA6" s="976"/>
      <c r="AH6" s="959" t="s">
        <v>900</v>
      </c>
      <c r="AK6" s="959" t="s">
        <v>901</v>
      </c>
      <c r="AM6" s="959" t="s">
        <v>902</v>
      </c>
      <c r="AP6" s="970" t="s">
        <v>175</v>
      </c>
      <c r="AQ6" s="971" t="s">
        <v>175</v>
      </c>
      <c r="AU6" s="1001" t="s">
        <v>903</v>
      </c>
      <c r="AW6" s="1001" t="s">
        <v>904</v>
      </c>
      <c r="AX6" s="1001" t="s">
        <v>904</v>
      </c>
      <c r="BB6" s="1001" t="s">
        <v>905</v>
      </c>
      <c r="BC6" s="1001" t="s">
        <v>886</v>
      </c>
      <c r="BE6" s="1001">
        <v>2004</v>
      </c>
      <c r="BF6" s="1001" t="s">
        <v>906</v>
      </c>
      <c r="BH6" s="951" t="s">
        <v>907</v>
      </c>
      <c r="BJ6" s="951" t="s">
        <v>908</v>
      </c>
      <c r="BL6" s="951" t="s">
        <v>908</v>
      </c>
      <c r="BN6" s="951" t="s">
        <v>909</v>
      </c>
      <c r="BQ6" s="1162">
        <v>4213784</v>
      </c>
      <c r="BR6" s="1176" t="s">
        <v>818</v>
      </c>
      <c r="BS6" s="1297"/>
      <c r="BT6" s="1162">
        <v>64236872</v>
      </c>
      <c r="BU6" s="951" t="s">
        <v>226</v>
      </c>
      <c r="BV6" s="953"/>
      <c r="BW6" s="1552">
        <v>4213768</v>
      </c>
      <c r="BX6" s="1550" t="s">
        <v>246</v>
      </c>
      <c r="BZ6" s="1162">
        <v>64237510</v>
      </c>
      <c r="CA6" s="951" t="s">
        <v>910</v>
      </c>
    </row>
    <row r="7" spans="1:79" ht="11.25" customHeight="1">
      <c r="A7" s="957" t="s">
        <v>911</v>
      </c>
      <c r="B7" s="958">
        <v>2005</v>
      </c>
      <c r="E7" s="959" t="s">
        <v>912</v>
      </c>
      <c r="F7" s="975"/>
      <c r="H7" s="960" t="s">
        <v>913</v>
      </c>
      <c r="I7" s="959" t="s">
        <v>91</v>
      </c>
      <c r="J7" s="959" t="s">
        <v>914</v>
      </c>
      <c r="N7" s="978" t="s">
        <v>915</v>
      </c>
      <c r="O7" s="959" t="s">
        <v>916</v>
      </c>
      <c r="U7" s="962" t="s">
        <v>55</v>
      </c>
      <c r="V7" s="297" t="s">
        <v>91</v>
      </c>
      <c r="W7" s="967"/>
      <c r="X7" s="958" t="s">
        <v>181</v>
      </c>
      <c r="Y7" s="958" t="s">
        <v>877</v>
      </c>
      <c r="Z7" s="973"/>
      <c r="AA7" s="976"/>
      <c r="AH7" s="959" t="s">
        <v>917</v>
      </c>
      <c r="AK7" s="959" t="s">
        <v>918</v>
      </c>
      <c r="AM7" s="959" t="s">
        <v>919</v>
      </c>
      <c r="AP7" s="970" t="s">
        <v>181</v>
      </c>
      <c r="AQ7" s="971" t="s">
        <v>181</v>
      </c>
      <c r="AU7" s="1001" t="s">
        <v>920</v>
      </c>
      <c r="AW7" s="1001" t="s">
        <v>921</v>
      </c>
      <c r="AX7" s="1001" t="s">
        <v>921</v>
      </c>
      <c r="AZ7" s="950" t="s">
        <v>922</v>
      </c>
      <c r="BB7" s="1001" t="s">
        <v>923</v>
      </c>
      <c r="BC7" s="1001" t="s">
        <v>886</v>
      </c>
      <c r="BE7" s="1001">
        <v>2005</v>
      </c>
      <c r="BF7" s="1001" t="s">
        <v>924</v>
      </c>
      <c r="BH7" s="951" t="s">
        <v>925</v>
      </c>
      <c r="BJ7" s="951" t="s">
        <v>907</v>
      </c>
      <c r="BL7" s="951" t="s">
        <v>907</v>
      </c>
      <c r="BN7" s="951" t="s">
        <v>926</v>
      </c>
      <c r="BQ7" s="1162">
        <v>4213781</v>
      </c>
      <c r="BR7" s="951" t="s">
        <v>811</v>
      </c>
      <c r="BS7" s="1296"/>
      <c r="BT7" s="1162">
        <v>64236873</v>
      </c>
      <c r="BU7" s="951" t="s">
        <v>231</v>
      </c>
      <c r="BV7" s="953"/>
      <c r="BW7" s="1552">
        <v>4213769</v>
      </c>
      <c r="BX7" s="1550" t="s">
        <v>927</v>
      </c>
      <c r="BZ7" s="1162">
        <v>64237511</v>
      </c>
      <c r="CA7" s="951" t="s">
        <v>261</v>
      </c>
    </row>
    <row r="8" spans="1:79" ht="11.25" customHeight="1">
      <c r="A8" s="957" t="s">
        <v>928</v>
      </c>
      <c r="B8" s="958">
        <v>2006</v>
      </c>
      <c r="E8" s="959" t="s">
        <v>929</v>
      </c>
      <c r="F8" s="975"/>
      <c r="I8" s="959" t="s">
        <v>92</v>
      </c>
      <c r="J8" s="959" t="s">
        <v>930</v>
      </c>
      <c r="N8" s="1037" t="s">
        <v>931</v>
      </c>
      <c r="O8" s="959" t="s">
        <v>932</v>
      </c>
      <c r="V8" s="297" t="s">
        <v>92</v>
      </c>
      <c r="W8" s="967"/>
      <c r="X8" s="958" t="s">
        <v>187</v>
      </c>
      <c r="Y8" s="958" t="s">
        <v>877</v>
      </c>
      <c r="Z8" s="973"/>
      <c r="AA8" s="976"/>
      <c r="AK8" s="959" t="s">
        <v>933</v>
      </c>
      <c r="AP8" s="970" t="s">
        <v>187</v>
      </c>
      <c r="AQ8" s="971" t="s">
        <v>187</v>
      </c>
      <c r="AU8" s="1001" t="s">
        <v>934</v>
      </c>
      <c r="AW8" s="1001" t="s">
        <v>935</v>
      </c>
      <c r="AX8" s="1001" t="s">
        <v>935</v>
      </c>
      <c r="AZ8" s="1001" t="s">
        <v>936</v>
      </c>
      <c r="BB8" s="1001" t="s">
        <v>937</v>
      </c>
      <c r="BC8" s="1001" t="s">
        <v>886</v>
      </c>
      <c r="BE8" s="1001">
        <v>2006</v>
      </c>
      <c r="BF8" s="1001" t="s">
        <v>938</v>
      </c>
      <c r="BH8" s="951" t="s">
        <v>939</v>
      </c>
      <c r="BJ8" s="951" t="s">
        <v>940</v>
      </c>
      <c r="BL8" s="951" t="s">
        <v>940</v>
      </c>
      <c r="BN8" s="951" t="s">
        <v>941</v>
      </c>
      <c r="BQ8" s="1162">
        <v>4213776</v>
      </c>
      <c r="BR8" s="951" t="s">
        <v>169</v>
      </c>
      <c r="BS8" s="1296"/>
      <c r="BT8" s="1162">
        <v>64236874</v>
      </c>
      <c r="BU8" s="1176" t="s">
        <v>942</v>
      </c>
      <c r="BV8" s="953"/>
      <c r="BW8" s="1552">
        <v>4213770</v>
      </c>
      <c r="BX8" s="1553" t="s">
        <v>943</v>
      </c>
      <c r="BZ8" s="1162">
        <v>64237512</v>
      </c>
      <c r="CA8" s="951" t="s">
        <v>256</v>
      </c>
    </row>
    <row r="9" spans="1:79" ht="11.25" customHeight="1">
      <c r="A9" s="957" t="s">
        <v>944</v>
      </c>
      <c r="B9" s="958">
        <v>2007</v>
      </c>
      <c r="E9" s="959" t="s">
        <v>945</v>
      </c>
      <c r="F9" s="975"/>
      <c r="G9" s="950" t="s">
        <v>946</v>
      </c>
      <c r="H9" s="950" t="s">
        <v>947</v>
      </c>
      <c r="I9" s="959" t="s">
        <v>111</v>
      </c>
      <c r="O9" s="959" t="s">
        <v>948</v>
      </c>
      <c r="V9" s="297" t="s">
        <v>111</v>
      </c>
      <c r="W9" s="967"/>
      <c r="X9" s="958" t="s">
        <v>196</v>
      </c>
      <c r="Y9" s="958" t="s">
        <v>783</v>
      </c>
      <c r="Z9" s="973">
        <v>1</v>
      </c>
      <c r="AA9" s="976"/>
      <c r="AK9" s="959" t="s">
        <v>949</v>
      </c>
      <c r="AP9" s="970" t="s">
        <v>950</v>
      </c>
      <c r="AQ9" s="971" t="s">
        <v>950</v>
      </c>
      <c r="AW9" s="1001" t="s">
        <v>951</v>
      </c>
      <c r="AX9" s="1001" t="s">
        <v>951</v>
      </c>
      <c r="AZ9" s="1001" t="s">
        <v>952</v>
      </c>
      <c r="BB9" s="1001" t="s">
        <v>953</v>
      </c>
      <c r="BC9" s="1001" t="s">
        <v>886</v>
      </c>
      <c r="BE9" s="1001">
        <v>2007</v>
      </c>
      <c r="BF9" s="1001" t="s">
        <v>954</v>
      </c>
      <c r="BH9" s="951" t="s">
        <v>955</v>
      </c>
      <c r="BJ9" s="951" t="s">
        <v>956</v>
      </c>
      <c r="BL9" s="951" t="s">
        <v>956</v>
      </c>
      <c r="BN9" s="951" t="s">
        <v>957</v>
      </c>
      <c r="BQ9" s="1162">
        <v>4213777</v>
      </c>
      <c r="BR9" s="951" t="s">
        <v>175</v>
      </c>
      <c r="BS9" s="1296"/>
      <c r="BT9" s="1162">
        <v>64236875</v>
      </c>
      <c r="BU9" s="951" t="s">
        <v>236</v>
      </c>
      <c r="BV9" s="953"/>
      <c r="BW9" s="1547"/>
      <c r="BX9" s="1547"/>
    </row>
    <row r="10" spans="1:79" ht="11.25" customHeight="1">
      <c r="A10" s="957" t="s">
        <v>958</v>
      </c>
      <c r="B10" s="958">
        <v>2008</v>
      </c>
      <c r="E10" s="959" t="s">
        <v>959</v>
      </c>
      <c r="F10" s="975"/>
      <c r="G10" s="959" t="s">
        <v>960</v>
      </c>
      <c r="H10" s="959" t="s">
        <v>961</v>
      </c>
      <c r="I10" s="959" t="s">
        <v>149</v>
      </c>
      <c r="J10" s="950" t="s">
        <v>962</v>
      </c>
      <c r="K10" s="950" t="s">
        <v>963</v>
      </c>
      <c r="O10" s="959" t="s">
        <v>964</v>
      </c>
      <c r="V10" s="298" t="s">
        <v>149</v>
      </c>
      <c r="W10" s="979"/>
      <c r="X10" s="979" t="s">
        <v>965</v>
      </c>
      <c r="Y10" s="980" t="s">
        <v>966</v>
      </c>
      <c r="Z10" s="973"/>
      <c r="AP10" s="970" t="s">
        <v>965</v>
      </c>
      <c r="AQ10" s="971" t="s">
        <v>965</v>
      </c>
      <c r="AW10" s="1001" t="s">
        <v>967</v>
      </c>
      <c r="AX10" s="1001" t="s">
        <v>967</v>
      </c>
      <c r="AZ10" s="1001" t="s">
        <v>968</v>
      </c>
      <c r="BB10" s="1001" t="s">
        <v>969</v>
      </c>
      <c r="BC10" s="1001" t="s">
        <v>886</v>
      </c>
      <c r="BE10" s="1001">
        <v>2008</v>
      </c>
      <c r="BF10" s="1001" t="s">
        <v>970</v>
      </c>
      <c r="BH10" s="951" t="s">
        <v>971</v>
      </c>
      <c r="BJ10" s="951" t="s">
        <v>972</v>
      </c>
      <c r="BL10" s="951" t="s">
        <v>972</v>
      </c>
      <c r="BN10" s="951" t="s">
        <v>973</v>
      </c>
      <c r="BQ10" s="1162">
        <v>4213778</v>
      </c>
      <c r="BR10" s="951" t="s">
        <v>181</v>
      </c>
      <c r="BS10" s="1296"/>
      <c r="BT10" s="1162">
        <v>64236876</v>
      </c>
      <c r="BU10" s="951" t="s">
        <v>216</v>
      </c>
      <c r="BV10" s="953"/>
      <c r="BW10" s="1547"/>
      <c r="BX10" s="1547"/>
    </row>
    <row r="11" spans="1:79" ht="11.25" customHeight="1">
      <c r="A11" s="957" t="s">
        <v>974</v>
      </c>
      <c r="B11" s="958">
        <v>2009</v>
      </c>
      <c r="E11" s="959" t="s">
        <v>975</v>
      </c>
      <c r="F11" s="975"/>
      <c r="G11" s="959" t="s">
        <v>976</v>
      </c>
      <c r="H11" s="959" t="s">
        <v>977</v>
      </c>
      <c r="I11" s="959" t="s">
        <v>150</v>
      </c>
      <c r="J11" s="960" t="s">
        <v>978</v>
      </c>
      <c r="K11" s="981" t="s">
        <v>979</v>
      </c>
      <c r="O11" s="960" t="s">
        <v>980</v>
      </c>
      <c r="V11" s="297" t="s">
        <v>150</v>
      </c>
      <c r="W11" s="193"/>
      <c r="X11" s="967" t="s">
        <v>950</v>
      </c>
      <c r="Y11" s="958" t="s">
        <v>981</v>
      </c>
      <c r="Z11" s="973"/>
      <c r="AP11" s="970" t="s">
        <v>196</v>
      </c>
      <c r="AQ11" s="972" t="s">
        <v>196</v>
      </c>
      <c r="AW11" s="1001" t="s">
        <v>982</v>
      </c>
      <c r="AX11" s="1001" t="s">
        <v>982</v>
      </c>
      <c r="AZ11" s="1001" t="s">
        <v>983</v>
      </c>
      <c r="BB11" s="1001" t="s">
        <v>984</v>
      </c>
      <c r="BC11" s="1001" t="s">
        <v>886</v>
      </c>
      <c r="BE11" s="1001">
        <v>2009</v>
      </c>
      <c r="BF11" s="1001" t="s">
        <v>985</v>
      </c>
      <c r="BH11" s="951" t="s">
        <v>986</v>
      </c>
      <c r="BJ11" s="951" t="s">
        <v>955</v>
      </c>
      <c r="BL11" s="951" t="s">
        <v>955</v>
      </c>
      <c r="BN11" s="951" t="s">
        <v>987</v>
      </c>
      <c r="BQ11" s="1162">
        <v>4213780</v>
      </c>
      <c r="BR11" s="951" t="s">
        <v>187</v>
      </c>
      <c r="BS11" s="1296"/>
      <c r="BW11" s="1547"/>
      <c r="BX11" s="1547"/>
    </row>
    <row r="12" spans="1:79" ht="11.25" customHeight="1">
      <c r="A12" s="957" t="s">
        <v>988</v>
      </c>
      <c r="B12" s="958">
        <v>2010</v>
      </c>
      <c r="E12" s="959" t="s">
        <v>989</v>
      </c>
      <c r="F12" s="975"/>
      <c r="G12" s="959" t="s">
        <v>977</v>
      </c>
      <c r="I12" s="959" t="s">
        <v>151</v>
      </c>
      <c r="J12" s="960" t="s">
        <v>990</v>
      </c>
      <c r="K12" s="981" t="s">
        <v>991</v>
      </c>
      <c r="O12" s="960" t="s">
        <v>777</v>
      </c>
      <c r="V12" s="297" t="s">
        <v>151</v>
      </c>
      <c r="W12" s="972"/>
      <c r="X12" s="967" t="s">
        <v>992</v>
      </c>
      <c r="Y12" s="958" t="s">
        <v>783</v>
      </c>
      <c r="AP12" s="970"/>
      <c r="AW12" s="1001" t="s">
        <v>150</v>
      </c>
      <c r="AX12" s="1001" t="s">
        <v>150</v>
      </c>
      <c r="AZ12" s="1001" t="s">
        <v>993</v>
      </c>
      <c r="BB12" s="1001" t="s">
        <v>994</v>
      </c>
      <c r="BC12" s="1001" t="s">
        <v>886</v>
      </c>
      <c r="BE12" s="1001">
        <v>2010</v>
      </c>
      <c r="BF12" s="1001" t="s">
        <v>995</v>
      </c>
      <c r="BH12" s="951" t="s">
        <v>996</v>
      </c>
      <c r="BJ12" s="951" t="s">
        <v>997</v>
      </c>
      <c r="BL12" s="951" t="s">
        <v>997</v>
      </c>
      <c r="BN12" s="951" t="s">
        <v>998</v>
      </c>
      <c r="BQ12" s="1162">
        <v>4213779</v>
      </c>
      <c r="BR12" s="951" t="s">
        <v>950</v>
      </c>
      <c r="BS12" s="1296"/>
      <c r="BT12" s="953"/>
      <c r="BU12" s="953"/>
      <c r="BV12" s="953"/>
      <c r="BW12" s="1547"/>
      <c r="BX12" s="1547"/>
    </row>
    <row r="13" spans="1:79" ht="11.25" customHeight="1">
      <c r="A13" s="957" t="s">
        <v>999</v>
      </c>
      <c r="B13" s="958">
        <v>2011</v>
      </c>
      <c r="E13" s="959" t="s">
        <v>1000</v>
      </c>
      <c r="F13" s="975"/>
      <c r="I13" s="959" t="s">
        <v>152</v>
      </c>
      <c r="K13" s="981" t="s">
        <v>949</v>
      </c>
      <c r="V13" s="297" t="s">
        <v>152</v>
      </c>
      <c r="W13" s="972"/>
      <c r="X13" s="972"/>
      <c r="Y13" s="972"/>
      <c r="AW13" s="1001" t="s">
        <v>151</v>
      </c>
      <c r="AX13" s="1001" t="s">
        <v>151</v>
      </c>
      <c r="BB13" s="1001" t="s">
        <v>1001</v>
      </c>
      <c r="BC13" s="1001" t="s">
        <v>1002</v>
      </c>
      <c r="BE13" s="1001">
        <v>2011</v>
      </c>
      <c r="BF13" s="1001" t="s">
        <v>1003</v>
      </c>
      <c r="BH13" s="951" t="s">
        <v>1004</v>
      </c>
      <c r="BJ13" s="951" t="s">
        <v>986</v>
      </c>
      <c r="BL13" s="951" t="s">
        <v>986</v>
      </c>
      <c r="BN13" s="951" t="s">
        <v>1005</v>
      </c>
      <c r="BQ13" s="1162">
        <v>4213783</v>
      </c>
      <c r="BR13" s="951" t="s">
        <v>965</v>
      </c>
      <c r="BS13" s="1296"/>
      <c r="BT13" s="953"/>
      <c r="BU13" s="953"/>
      <c r="BV13" s="953"/>
      <c r="BW13" s="1551"/>
      <c r="BX13" s="1547"/>
    </row>
    <row r="14" spans="1:79" ht="11.25" customHeight="1">
      <c r="A14" s="957" t="s">
        <v>1006</v>
      </c>
      <c r="B14" s="958">
        <v>2012</v>
      </c>
      <c r="I14" s="959" t="s">
        <v>153</v>
      </c>
      <c r="J14" s="950" t="s">
        <v>1007</v>
      </c>
      <c r="N14" s="950" t="s">
        <v>1008</v>
      </c>
      <c r="V14" s="966">
        <v>13</v>
      </c>
      <c r="W14" s="967"/>
      <c r="X14" s="967" t="s">
        <v>818</v>
      </c>
      <c r="Y14" s="958" t="s">
        <v>783</v>
      </c>
      <c r="AW14" s="1001" t="s">
        <v>152</v>
      </c>
      <c r="AX14" s="1001" t="s">
        <v>152</v>
      </c>
      <c r="AZ14" s="950" t="s">
        <v>1009</v>
      </c>
      <c r="BB14" s="1001" t="s">
        <v>1010</v>
      </c>
      <c r="BC14" s="1001" t="s">
        <v>1002</v>
      </c>
      <c r="BE14" s="1001">
        <v>2012</v>
      </c>
      <c r="BH14" s="951" t="s">
        <v>926</v>
      </c>
      <c r="BJ14" s="1083" t="s">
        <v>1011</v>
      </c>
      <c r="BL14" s="1083" t="s">
        <v>1011</v>
      </c>
      <c r="BN14" s="951" t="s">
        <v>1012</v>
      </c>
      <c r="BQ14" s="1162">
        <v>4213782</v>
      </c>
      <c r="BR14" s="951" t="s">
        <v>196</v>
      </c>
      <c r="BS14" s="1296"/>
      <c r="BT14" s="953"/>
      <c r="BU14" s="953"/>
      <c r="BV14" s="953"/>
      <c r="BW14" s="1551"/>
      <c r="BX14" s="1547"/>
    </row>
    <row r="15" spans="1:79" ht="19.5" customHeight="1">
      <c r="A15" s="957" t="s">
        <v>1013</v>
      </c>
      <c r="B15" s="958">
        <v>2013</v>
      </c>
      <c r="E15" s="1555" t="s">
        <v>1014</v>
      </c>
      <c r="G15" s="950" t="s">
        <v>1015</v>
      </c>
      <c r="H15" s="950" t="s">
        <v>1016</v>
      </c>
      <c r="I15" s="961" t="s">
        <v>154</v>
      </c>
      <c r="J15" s="972" t="s">
        <v>1017</v>
      </c>
      <c r="N15" s="1032" t="s">
        <v>1018</v>
      </c>
      <c r="X15" s="970"/>
      <c r="AW15" s="1001" t="s">
        <v>153</v>
      </c>
      <c r="AX15" s="1001" t="s">
        <v>153</v>
      </c>
      <c r="AZ15" s="1001" t="s">
        <v>936</v>
      </c>
      <c r="BB15" s="1001" t="s">
        <v>1019</v>
      </c>
      <c r="BC15" s="1001" t="s">
        <v>1002</v>
      </c>
      <c r="BE15" s="1001">
        <v>2013</v>
      </c>
      <c r="BH15" s="951" t="s">
        <v>941</v>
      </c>
      <c r="BJ15" s="1083" t="s">
        <v>1020</v>
      </c>
      <c r="BL15" s="1083" t="s">
        <v>1020</v>
      </c>
      <c r="BN15" s="951" t="s">
        <v>1021</v>
      </c>
      <c r="BR15" s="953"/>
      <c r="BS15" s="1298"/>
      <c r="BT15" s="953"/>
      <c r="BU15" s="953"/>
      <c r="BV15" s="953"/>
      <c r="BW15" s="1551"/>
      <c r="BX15" s="1547"/>
    </row>
    <row r="16" spans="1:79" ht="21" customHeight="1">
      <c r="A16" s="957" t="s">
        <v>1022</v>
      </c>
      <c r="B16" s="958">
        <v>2014</v>
      </c>
      <c r="E16" s="1556" t="s">
        <v>1023</v>
      </c>
      <c r="G16" s="959" t="s">
        <v>1024</v>
      </c>
      <c r="H16" s="959" t="s">
        <v>1025</v>
      </c>
      <c r="I16" s="961" t="s">
        <v>696</v>
      </c>
      <c r="J16" s="972" t="s">
        <v>801</v>
      </c>
      <c r="N16" s="1032" t="s">
        <v>1026</v>
      </c>
      <c r="AW16" s="1001" t="s">
        <v>154</v>
      </c>
      <c r="AX16" s="1001" t="s">
        <v>154</v>
      </c>
      <c r="AZ16" s="1001" t="s">
        <v>952</v>
      </c>
      <c r="BB16" s="1001" t="s">
        <v>1027</v>
      </c>
      <c r="BC16" s="1001" t="s">
        <v>1002</v>
      </c>
      <c r="BE16" s="1001">
        <v>2014</v>
      </c>
      <c r="BH16" s="951" t="s">
        <v>957</v>
      </c>
      <c r="BJ16" s="1083" t="s">
        <v>1028</v>
      </c>
      <c r="BL16" s="1083" t="s">
        <v>1028</v>
      </c>
      <c r="BN16" s="951" t="s">
        <v>1029</v>
      </c>
      <c r="BR16" s="953"/>
      <c r="BS16" s="1298"/>
      <c r="BT16" s="953"/>
      <c r="BU16" s="953"/>
      <c r="BV16" s="953"/>
      <c r="BW16" s="1551"/>
      <c r="BX16" s="1547"/>
    </row>
    <row r="17" spans="1:82" ht="21" customHeight="1">
      <c r="A17" s="957" t="s">
        <v>1030</v>
      </c>
      <c r="B17" s="958">
        <v>2015</v>
      </c>
      <c r="G17" s="959" t="s">
        <v>977</v>
      </c>
      <c r="H17" s="959" t="s">
        <v>977</v>
      </c>
      <c r="I17" s="959" t="s">
        <v>398</v>
      </c>
      <c r="N17" s="1032" t="s">
        <v>1031</v>
      </c>
      <c r="X17" s="970"/>
      <c r="AW17" s="1001" t="s">
        <v>696</v>
      </c>
      <c r="AX17" s="1001" t="s">
        <v>696</v>
      </c>
      <c r="AZ17" s="1001" t="s">
        <v>1032</v>
      </c>
      <c r="BB17" s="1001" t="s">
        <v>1033</v>
      </c>
      <c r="BC17" s="1001" t="s">
        <v>886</v>
      </c>
      <c r="BE17" s="1001">
        <v>2015</v>
      </c>
      <c r="BH17" s="951" t="s">
        <v>973</v>
      </c>
      <c r="BJ17" s="1083" t="s">
        <v>1034</v>
      </c>
      <c r="BL17" s="1083" t="s">
        <v>1034</v>
      </c>
      <c r="BN17" s="951" t="s">
        <v>1035</v>
      </c>
      <c r="BR17" s="950" t="s">
        <v>829</v>
      </c>
      <c r="BS17" s="1295"/>
      <c r="BU17" s="950" t="s">
        <v>1036</v>
      </c>
      <c r="BV17" s="953"/>
      <c r="BW17" s="1547"/>
      <c r="BX17" s="1549" t="s">
        <v>1037</v>
      </c>
      <c r="CA17" s="950" t="s">
        <v>1038</v>
      </c>
      <c r="CD17" s="950" t="s">
        <v>1039</v>
      </c>
    </row>
    <row r="18" spans="1:82" ht="21" customHeight="1">
      <c r="A18" s="957" t="s">
        <v>1040</v>
      </c>
      <c r="B18" s="958">
        <v>2016</v>
      </c>
      <c r="I18" s="959" t="s">
        <v>705</v>
      </c>
      <c r="N18" s="1032" t="s">
        <v>1041</v>
      </c>
      <c r="X18" s="970"/>
      <c r="AW18" s="1001" t="s">
        <v>398</v>
      </c>
      <c r="AX18" s="1001" t="s">
        <v>398</v>
      </c>
      <c r="BB18" s="1001" t="s">
        <v>1042</v>
      </c>
      <c r="BC18" s="1001" t="s">
        <v>886</v>
      </c>
      <c r="BE18" s="1001">
        <v>2016</v>
      </c>
      <c r="BH18" s="951" t="s">
        <v>987</v>
      </c>
      <c r="BJ18" s="1083" t="s">
        <v>1043</v>
      </c>
      <c r="BL18" s="1083" t="s">
        <v>1043</v>
      </c>
      <c r="BN18" s="951" t="s">
        <v>1044</v>
      </c>
      <c r="BQ18" s="1299" t="s">
        <v>859</v>
      </c>
      <c r="BR18" s="1033" t="s">
        <v>860</v>
      </c>
      <c r="BS18" s="192"/>
      <c r="BT18" s="1299" t="s">
        <v>1045</v>
      </c>
      <c r="BU18" s="1033" t="s">
        <v>1046</v>
      </c>
      <c r="BV18" s="953"/>
      <c r="BW18" s="1554" t="s">
        <v>1047</v>
      </c>
      <c r="BX18" s="1548" t="s">
        <v>1048</v>
      </c>
      <c r="BZ18" s="1299" t="s">
        <v>1049</v>
      </c>
      <c r="CA18" s="1033" t="s">
        <v>1050</v>
      </c>
      <c r="CC18" s="1299" t="s">
        <v>1051</v>
      </c>
      <c r="CD18" s="1033" t="s">
        <v>1052</v>
      </c>
    </row>
    <row r="19" spans="1:82" ht="21" customHeight="1">
      <c r="A19" s="957" t="s">
        <v>1053</v>
      </c>
      <c r="B19" s="958">
        <v>2017</v>
      </c>
      <c r="I19" s="959" t="s">
        <v>709</v>
      </c>
      <c r="N19" s="1032" t="s">
        <v>1054</v>
      </c>
      <c r="X19" s="970"/>
      <c r="AW19" s="1001" t="s">
        <v>705</v>
      </c>
      <c r="AX19" s="1001" t="s">
        <v>705</v>
      </c>
      <c r="AZ19" s="950" t="s">
        <v>1055</v>
      </c>
      <c r="BB19" s="1001" t="s">
        <v>1056</v>
      </c>
      <c r="BC19" s="1001" t="s">
        <v>886</v>
      </c>
      <c r="BE19" s="1001">
        <v>2017</v>
      </c>
      <c r="BH19" s="951" t="s">
        <v>1057</v>
      </c>
      <c r="BJ19" s="1083" t="s">
        <v>1058</v>
      </c>
      <c r="BL19" s="1083" t="s">
        <v>1058</v>
      </c>
      <c r="BQ19" s="1162">
        <v>4190064</v>
      </c>
      <c r="BR19" s="951" t="s">
        <v>1059</v>
      </c>
      <c r="BS19" s="1296"/>
      <c r="BT19" s="1162">
        <v>64235586</v>
      </c>
      <c r="BU19" s="951" t="s">
        <v>1060</v>
      </c>
      <c r="BV19" s="953"/>
      <c r="BW19" s="1552">
        <v>4189706</v>
      </c>
      <c r="BX19" s="1550" t="s">
        <v>1061</v>
      </c>
      <c r="BZ19" s="1162">
        <v>64235589</v>
      </c>
      <c r="CA19" s="951" t="s">
        <v>1062</v>
      </c>
      <c r="CC19" s="1162">
        <v>4189708</v>
      </c>
      <c r="CD19" s="951" t="s">
        <v>1063</v>
      </c>
    </row>
    <row r="20" spans="1:82" ht="21" customHeight="1">
      <c r="A20" s="957" t="s">
        <v>1064</v>
      </c>
      <c r="B20" s="958">
        <v>2018</v>
      </c>
      <c r="I20" s="959" t="s">
        <v>460</v>
      </c>
      <c r="N20" s="1032" t="s">
        <v>1065</v>
      </c>
      <c r="AW20" s="1001" t="s">
        <v>709</v>
      </c>
      <c r="AX20" s="1001" t="s">
        <v>709</v>
      </c>
      <c r="AZ20" s="1001" t="s">
        <v>1066</v>
      </c>
      <c r="BB20" s="1001" t="s">
        <v>1067</v>
      </c>
      <c r="BC20" s="1001" t="s">
        <v>1002</v>
      </c>
      <c r="BE20" s="1001">
        <v>2018</v>
      </c>
      <c r="BH20" s="951" t="s">
        <v>998</v>
      </c>
      <c r="BJ20" s="951" t="s">
        <v>926</v>
      </c>
      <c r="BL20" s="951" t="s">
        <v>926</v>
      </c>
      <c r="BQ20" s="1162">
        <v>4190065</v>
      </c>
      <c r="BR20" s="951" t="s">
        <v>1068</v>
      </c>
      <c r="BS20" s="1296"/>
      <c r="BT20" s="1162">
        <v>64235587</v>
      </c>
      <c r="BU20" s="951" t="s">
        <v>1069</v>
      </c>
      <c r="BV20" s="953"/>
      <c r="BW20" s="1552">
        <v>4189705</v>
      </c>
      <c r="BX20" s="1550" t="s">
        <v>1070</v>
      </c>
      <c r="BZ20" s="1162">
        <v>64235590</v>
      </c>
      <c r="CA20" s="951" t="s">
        <v>1071</v>
      </c>
      <c r="CC20" s="1162">
        <v>4189709</v>
      </c>
      <c r="CD20" s="951" t="s">
        <v>1072</v>
      </c>
    </row>
    <row r="21" spans="1:82" ht="21" customHeight="1">
      <c r="A21" s="957" t="s">
        <v>1073</v>
      </c>
      <c r="B21" s="958">
        <v>2019</v>
      </c>
      <c r="I21" s="959" t="s">
        <v>1074</v>
      </c>
      <c r="N21" s="1032" t="s">
        <v>1075</v>
      </c>
      <c r="AW21" s="1001" t="s">
        <v>460</v>
      </c>
      <c r="AX21" s="1001" t="s">
        <v>460</v>
      </c>
      <c r="AZ21" s="1001" t="s">
        <v>1076</v>
      </c>
      <c r="BB21" s="1001" t="s">
        <v>1077</v>
      </c>
      <c r="BC21" s="1001" t="s">
        <v>886</v>
      </c>
      <c r="BE21" s="1001">
        <v>2019</v>
      </c>
      <c r="BH21" s="951" t="s">
        <v>1005</v>
      </c>
      <c r="BJ21" s="951" t="s">
        <v>941</v>
      </c>
      <c r="BL21" s="951" t="s">
        <v>941</v>
      </c>
      <c r="BQ21" s="1162">
        <v>4190066</v>
      </c>
      <c r="BR21" s="951" t="s">
        <v>1078</v>
      </c>
      <c r="BS21" s="1296"/>
      <c r="BT21" s="1162">
        <v>64235585</v>
      </c>
      <c r="BU21" s="951" t="s">
        <v>1079</v>
      </c>
      <c r="BV21" s="953"/>
      <c r="BW21" s="1552">
        <v>4189707</v>
      </c>
      <c r="BX21" s="1550" t="s">
        <v>1080</v>
      </c>
      <c r="BZ21" s="1162">
        <v>64235591</v>
      </c>
      <c r="CA21" s="951" t="s">
        <v>1081</v>
      </c>
      <c r="CC21" s="1162">
        <v>4189710</v>
      </c>
      <c r="CD21" s="951" t="s">
        <v>1082</v>
      </c>
    </row>
    <row r="22" spans="1:82" ht="21" customHeight="1">
      <c r="A22" s="957" t="s">
        <v>1083</v>
      </c>
      <c r="B22" s="958">
        <v>2020</v>
      </c>
      <c r="N22" s="1032" t="s">
        <v>1084</v>
      </c>
      <c r="AW22" s="1001" t="s">
        <v>1074</v>
      </c>
      <c r="AX22" s="1001" t="s">
        <v>1074</v>
      </c>
      <c r="AZ22" s="1001" t="s">
        <v>1085</v>
      </c>
      <c r="BB22" s="1001" t="s">
        <v>1086</v>
      </c>
      <c r="BC22" s="1001" t="s">
        <v>886</v>
      </c>
      <c r="BE22" s="1001">
        <v>2020</v>
      </c>
      <c r="BH22" s="951" t="s">
        <v>1012</v>
      </c>
      <c r="BJ22" s="951" t="s">
        <v>957</v>
      </c>
      <c r="BL22" s="951" t="s">
        <v>957</v>
      </c>
      <c r="BQ22" s="1162">
        <v>4190067</v>
      </c>
      <c r="BR22" s="951" t="s">
        <v>1087</v>
      </c>
      <c r="BS22" s="1296"/>
      <c r="BT22" s="953"/>
      <c r="BU22" s="953"/>
      <c r="BV22" s="953"/>
      <c r="BW22" s="953"/>
      <c r="CC22" s="1162">
        <v>4189711</v>
      </c>
      <c r="CD22" s="951" t="s">
        <v>285</v>
      </c>
    </row>
    <row r="23" spans="1:82" ht="21" customHeight="1">
      <c r="A23" s="957" t="s">
        <v>1088</v>
      </c>
      <c r="B23" s="958">
        <v>2021</v>
      </c>
      <c r="AW23" s="1001" t="s">
        <v>1089</v>
      </c>
      <c r="AX23" s="1001" t="s">
        <v>1089</v>
      </c>
      <c r="AZ23" s="1001" t="s">
        <v>1090</v>
      </c>
      <c r="BB23" s="1001" t="s">
        <v>1091</v>
      </c>
      <c r="BC23" s="1001" t="s">
        <v>794</v>
      </c>
      <c r="BE23" s="1001">
        <v>2021</v>
      </c>
      <c r="BH23" s="951" t="s">
        <v>1021</v>
      </c>
      <c r="BJ23" s="951" t="s">
        <v>973</v>
      </c>
      <c r="BL23" s="951" t="s">
        <v>973</v>
      </c>
      <c r="BQ23" s="1162">
        <v>4190068</v>
      </c>
      <c r="BR23" s="951" t="s">
        <v>1092</v>
      </c>
      <c r="BS23" s="1296"/>
      <c r="BT23" s="953"/>
      <c r="BU23" s="953"/>
      <c r="BV23" s="953"/>
      <c r="BW23" s="953"/>
      <c r="CC23" s="1162">
        <v>5110778</v>
      </c>
      <c r="CD23" s="951" t="s">
        <v>1093</v>
      </c>
    </row>
    <row r="24" spans="1:82" ht="21" customHeight="1">
      <c r="A24" s="957" t="s">
        <v>1094</v>
      </c>
      <c r="B24" s="958">
        <v>2022</v>
      </c>
      <c r="AW24" s="1001" t="s">
        <v>1095</v>
      </c>
      <c r="AX24" s="1001" t="s">
        <v>1095</v>
      </c>
      <c r="AZ24" s="1001" t="s">
        <v>1096</v>
      </c>
      <c r="BB24" s="1001" t="s">
        <v>1097</v>
      </c>
      <c r="BC24" s="1001" t="s">
        <v>1098</v>
      </c>
      <c r="BE24" s="1001">
        <v>2022</v>
      </c>
      <c r="BH24" s="951" t="s">
        <v>1029</v>
      </c>
      <c r="BJ24" s="951" t="s">
        <v>987</v>
      </c>
      <c r="BL24" s="951" t="s">
        <v>987</v>
      </c>
      <c r="BQ24" s="1162">
        <v>4190069</v>
      </c>
      <c r="BR24" s="951" t="s">
        <v>1099</v>
      </c>
      <c r="BS24" s="1296"/>
      <c r="BT24" s="953"/>
      <c r="BU24" s="953"/>
      <c r="BV24" s="953"/>
      <c r="BW24" s="953"/>
    </row>
    <row r="25" spans="1:82" ht="11.25" customHeight="1">
      <c r="A25" s="957" t="s">
        <v>1100</v>
      </c>
      <c r="B25" s="958">
        <v>2023</v>
      </c>
      <c r="AW25" s="1001" t="s">
        <v>1101</v>
      </c>
      <c r="AX25" s="1001" t="s">
        <v>1101</v>
      </c>
      <c r="AZ25" s="1001" t="s">
        <v>1102</v>
      </c>
      <c r="BB25" s="1001" t="s">
        <v>1103</v>
      </c>
      <c r="BC25" s="1001" t="s">
        <v>1098</v>
      </c>
      <c r="BE25" s="1001">
        <v>2023</v>
      </c>
      <c r="BH25" s="951" t="s">
        <v>1035</v>
      </c>
      <c r="BJ25" s="951" t="s">
        <v>1057</v>
      </c>
      <c r="BL25" s="951" t="s">
        <v>1057</v>
      </c>
      <c r="BQ25" s="1162">
        <v>4190070</v>
      </c>
      <c r="BR25" s="951" t="s">
        <v>1104</v>
      </c>
      <c r="BS25" s="1296"/>
      <c r="BT25" s="953"/>
      <c r="BU25" s="953"/>
      <c r="BV25" s="953"/>
      <c r="BW25" s="953"/>
    </row>
    <row r="26" spans="1:82" ht="11.25" customHeight="1">
      <c r="A26" s="957" t="s">
        <v>1105</v>
      </c>
      <c r="B26" s="958">
        <v>2024</v>
      </c>
      <c r="J26" s="1588" t="s">
        <v>1106</v>
      </c>
      <c r="AX26" s="1001" t="s">
        <v>473</v>
      </c>
      <c r="AZ26" s="1001" t="s">
        <v>980</v>
      </c>
      <c r="BB26" s="1001" t="s">
        <v>1107</v>
      </c>
      <c r="BC26" s="1001" t="s">
        <v>1098</v>
      </c>
      <c r="BE26" s="1001">
        <v>2024</v>
      </c>
      <c r="BH26" s="951" t="s">
        <v>1044</v>
      </c>
      <c r="BJ26" s="951" t="s">
        <v>998</v>
      </c>
      <c r="BL26" s="951" t="s">
        <v>998</v>
      </c>
      <c r="BQ26" s="1162">
        <v>4190071</v>
      </c>
      <c r="BR26" s="951" t="s">
        <v>1108</v>
      </c>
      <c r="BS26" s="1296"/>
      <c r="BT26" s="953"/>
      <c r="BU26" s="953"/>
      <c r="BV26" s="953"/>
      <c r="BW26" s="953"/>
    </row>
    <row r="27" spans="1:82" ht="11.25" customHeight="1">
      <c r="A27" s="957" t="s">
        <v>1109</v>
      </c>
      <c r="B27" s="958">
        <v>2025</v>
      </c>
      <c r="J27" s="104" t="s">
        <v>1110</v>
      </c>
      <c r="AX27" s="1001" t="s">
        <v>472</v>
      </c>
      <c r="BB27" s="1001" t="s">
        <v>1111</v>
      </c>
      <c r="BC27" s="1001" t="s">
        <v>1098</v>
      </c>
      <c r="BE27" s="1001">
        <v>2025</v>
      </c>
      <c r="BH27" s="953" t="s">
        <v>17</v>
      </c>
      <c r="BJ27" s="951" t="s">
        <v>1005</v>
      </c>
      <c r="BL27" s="951" t="s">
        <v>1005</v>
      </c>
      <c r="BN27" s="953" t="s">
        <v>17</v>
      </c>
      <c r="BQ27" s="1162">
        <v>4190072</v>
      </c>
      <c r="BR27" s="951" t="s">
        <v>1112</v>
      </c>
      <c r="BS27" s="1296"/>
      <c r="BT27" s="953"/>
      <c r="BU27" s="953"/>
      <c r="BV27" s="953"/>
      <c r="BW27" s="953"/>
    </row>
    <row r="28" spans="1:82" ht="11.25" customHeight="1">
      <c r="A28" s="957" t="s">
        <v>1113</v>
      </c>
      <c r="D28" s="982"/>
      <c r="E28" s="983"/>
      <c r="F28" s="983"/>
      <c r="H28" s="984" t="s">
        <v>1114</v>
      </c>
      <c r="AX28" s="1001" t="s">
        <v>720</v>
      </c>
      <c r="AZ28" s="950" t="s">
        <v>1115</v>
      </c>
      <c r="BB28" s="1001" t="s">
        <v>1116</v>
      </c>
      <c r="BC28" s="1001" t="s">
        <v>1117</v>
      </c>
      <c r="BE28" s="1001">
        <v>2026</v>
      </c>
      <c r="BH28" s="953" t="s">
        <v>17</v>
      </c>
      <c r="BJ28" s="951" t="s">
        <v>1012</v>
      </c>
      <c r="BL28" s="951" t="s">
        <v>1012</v>
      </c>
      <c r="BN28" s="953" t="s">
        <v>17</v>
      </c>
      <c r="BQ28" s="1162">
        <v>4190073</v>
      </c>
      <c r="BR28" s="951" t="s">
        <v>1118</v>
      </c>
      <c r="BS28" s="1296"/>
      <c r="BT28" s="953"/>
      <c r="BU28" s="953"/>
      <c r="BV28" s="953"/>
      <c r="BW28" s="953"/>
    </row>
    <row r="29" spans="1:82" ht="11.25" customHeight="1">
      <c r="A29" s="957" t="s">
        <v>1119</v>
      </c>
      <c r="D29" s="985" t="s">
        <v>1120</v>
      </c>
      <c r="E29" s="986" t="str">
        <f>IF(TEMPLATE_GROUP="","",INDEX(StartDateList,MATCH(TEMPLATE_GROUP,CodeTemplateList,0),1))</f>
        <v>01.01.2023</v>
      </c>
      <c r="F29" s="986" t="str">
        <f>IF(TEMPLATE_GROUP="","",INDEX(EndDateList,MATCH(TEMPLATE_GROUP,CodeTemplateList,0),1))</f>
        <v>31.12.2023</v>
      </c>
      <c r="H29" s="987" t="s">
        <v>1121</v>
      </c>
      <c r="AX29" s="1001" t="s">
        <v>455</v>
      </c>
      <c r="AZ29" s="1001" t="s">
        <v>778</v>
      </c>
      <c r="BB29" s="1001" t="s">
        <v>980</v>
      </c>
      <c r="BC29" s="973"/>
      <c r="BE29" s="1001">
        <v>2027</v>
      </c>
      <c r="BJ29" s="951" t="s">
        <v>1021</v>
      </c>
      <c r="BL29" s="951" t="s">
        <v>1021</v>
      </c>
    </row>
    <row r="30" spans="1:82" ht="11.25" customHeight="1">
      <c r="A30" s="957" t="s">
        <v>1122</v>
      </c>
      <c r="D30" s="988"/>
      <c r="E30" s="989"/>
      <c r="F30" s="989"/>
      <c r="AX30" s="1001" t="s">
        <v>1123</v>
      </c>
      <c r="AZ30" s="1001" t="s">
        <v>807</v>
      </c>
      <c r="BE30" s="1001">
        <v>2028</v>
      </c>
      <c r="BJ30" s="951" t="s">
        <v>1124</v>
      </c>
      <c r="BL30" s="951" t="s">
        <v>1124</v>
      </c>
    </row>
    <row r="31" spans="1:82" ht="12.75" customHeight="1">
      <c r="A31" s="957" t="s">
        <v>1125</v>
      </c>
      <c r="D31" s="982"/>
      <c r="E31" s="983"/>
      <c r="F31" s="983"/>
      <c r="H31" s="990"/>
      <c r="AX31" s="1001" t="s">
        <v>1126</v>
      </c>
      <c r="AZ31" s="1001" t="s">
        <v>1127</v>
      </c>
      <c r="BE31" s="1001">
        <v>2029</v>
      </c>
      <c r="BJ31" s="951" t="s">
        <v>1128</v>
      </c>
      <c r="BL31" s="951" t="s">
        <v>1128</v>
      </c>
    </row>
    <row r="32" spans="1:82" ht="11.25" customHeight="1">
      <c r="A32" s="957" t="s">
        <v>1129</v>
      </c>
      <c r="D32" s="985" t="s">
        <v>1130</v>
      </c>
      <c r="E32" s="986" t="str">
        <f>IF(TEMPLATE_GROUP="","",INDEX(StartDateList,MATCH(TEMPLATE_GROUP,CodeTemplateList,0),1))</f>
        <v>01.01.2023</v>
      </c>
      <c r="F32" s="986" t="str">
        <f>IF(TEMPLATE_GROUP="","",INDEX(EndDateList,MATCH(TEMPLATE_GROUP,CodeTemplateList,0),1))</f>
        <v>31.12.2023</v>
      </c>
      <c r="H32" s="991" t="s">
        <v>1131</v>
      </c>
      <c r="O32" s="957" t="s">
        <v>776</v>
      </c>
      <c r="AX32" s="1001" t="s">
        <v>1132</v>
      </c>
      <c r="AZ32" s="1001" t="s">
        <v>874</v>
      </c>
      <c r="BE32" s="1001">
        <v>2030</v>
      </c>
      <c r="BJ32" s="951" t="s">
        <v>1029</v>
      </c>
      <c r="BL32" s="951" t="s">
        <v>1029</v>
      </c>
    </row>
    <row r="33" spans="1:66" ht="11.25" customHeight="1">
      <c r="A33" s="957" t="s">
        <v>1133</v>
      </c>
      <c r="O33" s="957" t="s">
        <v>804</v>
      </c>
      <c r="AX33" s="1001" t="s">
        <v>1134</v>
      </c>
      <c r="AZ33" s="1001" t="s">
        <v>777</v>
      </c>
      <c r="BE33" s="1001">
        <v>2031</v>
      </c>
      <c r="BJ33" s="951" t="s">
        <v>1035</v>
      </c>
      <c r="BL33" s="951" t="s">
        <v>1035</v>
      </c>
    </row>
    <row r="34" spans="1:66" ht="11.25" customHeight="1">
      <c r="A34" s="957" t="s">
        <v>1135</v>
      </c>
      <c r="O34" s="957" t="s">
        <v>840</v>
      </c>
      <c r="AX34" s="1001" t="s">
        <v>1136</v>
      </c>
      <c r="BE34" s="1001">
        <v>2032</v>
      </c>
      <c r="BJ34" s="951" t="s">
        <v>1044</v>
      </c>
      <c r="BL34" s="951" t="s">
        <v>1044</v>
      </c>
    </row>
    <row r="35" spans="1:66" ht="11.25" customHeight="1">
      <c r="A35" s="957" t="s">
        <v>1137</v>
      </c>
      <c r="O35" s="957" t="s">
        <v>872</v>
      </c>
      <c r="AX35" s="1001" t="s">
        <v>1138</v>
      </c>
      <c r="AZ35" s="950" t="s">
        <v>1139</v>
      </c>
      <c r="BE35" s="1001">
        <v>2033</v>
      </c>
      <c r="BL35" s="951" t="s">
        <v>1140</v>
      </c>
    </row>
    <row r="36" spans="1:66" ht="11.25" customHeight="1">
      <c r="A36" s="957" t="s">
        <v>1141</v>
      </c>
      <c r="D36" s="992" t="s">
        <v>1142</v>
      </c>
      <c r="E36" s="993" t="s">
        <v>395</v>
      </c>
      <c r="F36" s="994" t="str">
        <f>INDEX(E37:E41,MATCH(TEMPLATE_SPHERE,F37:F41,0))</f>
        <v>горячего водоснабжения</v>
      </c>
      <c r="G36" s="994" t="str">
        <f>INDEX(G37:G41,MATCH(TEMPLATE_SPHERE,F37:F41,0))</f>
        <v>горячее водоснабжение</v>
      </c>
      <c r="O36" s="957" t="s">
        <v>897</v>
      </c>
      <c r="AX36" s="1001" t="s">
        <v>1143</v>
      </c>
      <c r="AZ36" s="1001" t="s">
        <v>777</v>
      </c>
      <c r="BE36" s="1001">
        <v>2034</v>
      </c>
      <c r="BL36" s="951" t="s">
        <v>1144</v>
      </c>
    </row>
    <row r="37" spans="1:66" ht="11.25" customHeight="1">
      <c r="A37" s="957" t="s">
        <v>1145</v>
      </c>
      <c r="E37" s="342" t="s">
        <v>1146</v>
      </c>
      <c r="F37" s="995" t="s">
        <v>392</v>
      </c>
      <c r="G37" s="342" t="s">
        <v>1147</v>
      </c>
      <c r="O37" s="957" t="s">
        <v>916</v>
      </c>
      <c r="AX37" s="1001" t="s">
        <v>1148</v>
      </c>
      <c r="AZ37" s="1001" t="s">
        <v>806</v>
      </c>
      <c r="BE37" s="1001">
        <v>2035</v>
      </c>
    </row>
    <row r="38" spans="1:66" ht="11.25" customHeight="1">
      <c r="A38" s="957" t="s">
        <v>1149</v>
      </c>
      <c r="E38" s="342" t="s">
        <v>1150</v>
      </c>
      <c r="F38" s="996" t="s">
        <v>393</v>
      </c>
      <c r="G38" s="342" t="s">
        <v>1151</v>
      </c>
      <c r="O38" s="957" t="s">
        <v>932</v>
      </c>
      <c r="AX38" s="1001" t="s">
        <v>1152</v>
      </c>
      <c r="AZ38" s="1001" t="s">
        <v>841</v>
      </c>
      <c r="BE38" s="1001">
        <v>2036</v>
      </c>
      <c r="BH38" s="950" t="s">
        <v>1153</v>
      </c>
      <c r="BJ38" s="950" t="s">
        <v>1154</v>
      </c>
      <c r="BL38" s="950" t="s">
        <v>1155</v>
      </c>
      <c r="BN38" s="950" t="s">
        <v>1156</v>
      </c>
    </row>
    <row r="39" spans="1:66" ht="11.25" customHeight="1">
      <c r="A39" s="957" t="s">
        <v>1157</v>
      </c>
      <c r="E39" s="342" t="s">
        <v>1158</v>
      </c>
      <c r="F39" s="996" t="s">
        <v>394</v>
      </c>
      <c r="G39" s="342" t="s">
        <v>1159</v>
      </c>
      <c r="O39" s="957" t="s">
        <v>948</v>
      </c>
      <c r="AX39" s="1001" t="s">
        <v>1160</v>
      </c>
      <c r="AZ39" s="1001" t="s">
        <v>873</v>
      </c>
      <c r="BE39" s="1001">
        <v>2037</v>
      </c>
      <c r="BH39" s="951" t="s">
        <v>1161</v>
      </c>
      <c r="BJ39" s="1083" t="s">
        <v>1161</v>
      </c>
      <c r="BL39" s="1083" t="s">
        <v>1161</v>
      </c>
      <c r="BN39" s="951" t="s">
        <v>1162</v>
      </c>
    </row>
    <row r="40" spans="1:66" ht="11.25" customHeight="1">
      <c r="A40" s="957" t="s">
        <v>1163</v>
      </c>
      <c r="E40" s="342" t="s">
        <v>1164</v>
      </c>
      <c r="F40" s="996" t="s">
        <v>395</v>
      </c>
      <c r="G40" s="342" t="s">
        <v>1165</v>
      </c>
      <c r="O40" s="957" t="s">
        <v>964</v>
      </c>
      <c r="AX40" s="1001" t="s">
        <v>1166</v>
      </c>
      <c r="BE40" s="1001">
        <v>2038</v>
      </c>
      <c r="BH40" s="951" t="s">
        <v>1167</v>
      </c>
      <c r="BJ40" s="1083" t="s">
        <v>1168</v>
      </c>
      <c r="BL40" s="1083" t="s">
        <v>1168</v>
      </c>
      <c r="BN40" s="951" t="s">
        <v>1169</v>
      </c>
    </row>
    <row r="41" spans="1:66" ht="11.25" customHeight="1">
      <c r="A41" s="957" t="s">
        <v>1170</v>
      </c>
      <c r="E41" s="342" t="s">
        <v>1171</v>
      </c>
      <c r="F41" s="996" t="s">
        <v>396</v>
      </c>
      <c r="G41" s="342" t="s">
        <v>1171</v>
      </c>
      <c r="O41" s="957" t="s">
        <v>980</v>
      </c>
      <c r="AX41" s="1001" t="s">
        <v>98</v>
      </c>
      <c r="AZ41" s="950" t="s">
        <v>1172</v>
      </c>
      <c r="BE41" s="1001">
        <v>2039</v>
      </c>
      <c r="BH41" s="951" t="s">
        <v>1173</v>
      </c>
      <c r="BJ41" s="1083" t="s">
        <v>1174</v>
      </c>
      <c r="BL41" s="1083" t="s">
        <v>1174</v>
      </c>
      <c r="BN41" s="951" t="s">
        <v>1175</v>
      </c>
    </row>
    <row r="42" spans="1:66" ht="11.25" customHeight="1">
      <c r="A42" s="957" t="s">
        <v>1176</v>
      </c>
      <c r="AX42" s="1001" t="s">
        <v>1177</v>
      </c>
      <c r="AZ42" s="1001" t="s">
        <v>776</v>
      </c>
      <c r="BE42" s="1001">
        <v>2040</v>
      </c>
      <c r="BH42" s="951" t="s">
        <v>1178</v>
      </c>
      <c r="BJ42" s="1083" t="s">
        <v>1179</v>
      </c>
      <c r="BL42" s="1083" t="s">
        <v>1179</v>
      </c>
      <c r="BN42" s="951" t="s">
        <v>1180</v>
      </c>
    </row>
    <row r="43" spans="1:66" ht="11.25" customHeight="1">
      <c r="A43" s="957" t="s">
        <v>1181</v>
      </c>
      <c r="AX43" s="1001" t="s">
        <v>1182</v>
      </c>
      <c r="AZ43" s="1001" t="s">
        <v>804</v>
      </c>
      <c r="BE43" s="1001">
        <v>2041</v>
      </c>
      <c r="BH43" s="951" t="s">
        <v>1183</v>
      </c>
      <c r="BJ43" s="1083" t="s">
        <v>1173</v>
      </c>
      <c r="BL43" s="1083" t="s">
        <v>1173</v>
      </c>
      <c r="BN43" s="951" t="s">
        <v>1184</v>
      </c>
    </row>
    <row r="44" spans="1:66" ht="11.25" customHeight="1">
      <c r="A44" s="957" t="s">
        <v>1185</v>
      </c>
      <c r="I44" s="705" t="s">
        <v>1186</v>
      </c>
      <c r="J44" s="972" t="s">
        <v>1187</v>
      </c>
      <c r="K44" s="972" t="s">
        <v>1188</v>
      </c>
      <c r="AX44" s="1001" t="s">
        <v>1189</v>
      </c>
      <c r="AZ44" s="1001" t="s">
        <v>840</v>
      </c>
      <c r="BE44" s="1001">
        <v>2042</v>
      </c>
      <c r="BH44" s="951" t="s">
        <v>1190</v>
      </c>
      <c r="BJ44" s="1083" t="s">
        <v>1178</v>
      </c>
      <c r="BL44" s="1083" t="s">
        <v>1178</v>
      </c>
      <c r="BN44" s="951" t="s">
        <v>1191</v>
      </c>
    </row>
    <row r="45" spans="1:66" ht="11.25" customHeight="1">
      <c r="A45" s="957" t="s">
        <v>1192</v>
      </c>
      <c r="D45" s="992" t="s">
        <v>1193</v>
      </c>
      <c r="E45" s="993" t="s">
        <v>1194</v>
      </c>
      <c r="F45" s="703" t="s">
        <v>1195</v>
      </c>
      <c r="G45" s="702" t="s">
        <v>1196</v>
      </c>
      <c r="H45" s="705" t="s">
        <v>1197</v>
      </c>
      <c r="I45" s="1601" t="b">
        <f>INDEX(PeriodIsEmptyList,MATCH(TEMPLATE_GROUP,CodeTemplateList,0),1)</f>
        <v>0</v>
      </c>
      <c r="J45" s="1608" t="str">
        <f>INDEX(NameTemplatesInTitleList,MATCH(TEMPLATE_GROUP,CodeTemplateList,0),1)</f>
        <v>Информация о показателях финансово-хозяйственной деятельности, об основных потребительских характеристиках регулируемых товаров и услуг, об инвестиционных программах</v>
      </c>
      <c r="K45" s="1608" t="str">
        <f>"Перечень муниципальных районов и муниципальных образований (территорий "&amp;IF(OR(TEMPLATE_GROUP="P",TEMPLATE_GROUP="R",TEMPLATE_GROUP="Q"),"действия тарифа","оказания услуг")&amp;")"</f>
        <v>Перечень муниципальных районов и муниципальных образований (территорий оказания услуг)</v>
      </c>
      <c r="AX45" s="1001" t="s">
        <v>1198</v>
      </c>
      <c r="AZ45" s="1001" t="s">
        <v>872</v>
      </c>
      <c r="BE45" s="1001">
        <v>2043</v>
      </c>
      <c r="BH45" s="951" t="s">
        <v>1199</v>
      </c>
      <c r="BJ45" s="1083" t="s">
        <v>1200</v>
      </c>
      <c r="BL45" s="1083" t="s">
        <v>1200</v>
      </c>
      <c r="BN45" s="951" t="s">
        <v>1201</v>
      </c>
    </row>
    <row r="46" spans="1:66" ht="11.25" customHeight="1">
      <c r="A46" s="957" t="s">
        <v>1202</v>
      </c>
      <c r="E46" s="342" t="s">
        <v>22</v>
      </c>
      <c r="F46" s="995" t="s">
        <v>1203</v>
      </c>
      <c r="G46" s="997"/>
      <c r="H46" s="997"/>
      <c r="I46" s="1602" t="b">
        <f>IF(TITLE_DATE_FIL="",TRUE,FALSE)</f>
        <v>1</v>
      </c>
      <c r="J46" s="1609" t="str">
        <f>"Общая информация о регулируемой организации ("&amp;TEMPLATE_SPHERE_RUS&amp;")"</f>
        <v>Общая информация о регулируемой организации (горячего водоснабжения)</v>
      </c>
      <c r="K46" s="1610"/>
      <c r="AX46" s="1001" t="s">
        <v>1204</v>
      </c>
      <c r="AZ46" s="1001" t="s">
        <v>897</v>
      </c>
      <c r="BE46" s="1001">
        <v>2044</v>
      </c>
      <c r="BH46" s="951" t="s">
        <v>1175</v>
      </c>
      <c r="BJ46" s="1083" t="s">
        <v>1205</v>
      </c>
      <c r="BL46" s="1083" t="s">
        <v>1205</v>
      </c>
      <c r="BN46" s="951" t="s">
        <v>1206</v>
      </c>
    </row>
    <row r="47" spans="1:66" ht="11.25" customHeight="1">
      <c r="A47" s="957" t="s">
        <v>1207</v>
      </c>
      <c r="E47" s="342" t="s">
        <v>28</v>
      </c>
      <c r="F47" s="996" t="s">
        <v>1208</v>
      </c>
      <c r="G47" s="998" t="str">
        <f>IF(f_year="","",IF(LEN(f_quart)=0,"",IF(f_quart="I квартал","01.01."&amp;f_year,IF(f_quart="II квартал","01.04."&amp;f_year,(IF(f_quart="III квартал","01.07."&amp;f_year,"01.10."&amp;f_year))))))</f>
        <v/>
      </c>
      <c r="H47" s="998" t="str">
        <f>IF(f_year="","",IF(LEN(f_quart)=0,"",IF(f_quart="I квартал","31.03."&amp;f_year,IF(f_quart="II квартал","30.06."&amp;f_year,(IF(f_quart="III квартал","30.09."&amp;f_year,"31.12."&amp;f_year))))))</f>
        <v/>
      </c>
      <c r="I47" s="1603" t="b">
        <f>IF(OR(f_year="",f_quart=""),TRUE,FALSE)</f>
        <v>1</v>
      </c>
      <c r="J47" s="1609" t="str">
        <f>"Информация о наличии (отсутствии) технической возможности подключения к централизованной системе "&amp;TEMPLATE_SPHERE_RUS&amp;", а также о регистрации и ходе реализации заявок о подключении к централизованной системе "&amp;TEMPLATE_SPHERE_RUS</f>
        <v>Информация о наличии (отсутствии) технической возможности подключения к централизованной системе горячего водоснабжения, а также о регистрации и ходе реализации заявок о подключении к централизованной системе горячего водоснабжения</v>
      </c>
      <c r="K47" s="1610"/>
      <c r="AX47" s="1001" t="s">
        <v>474</v>
      </c>
      <c r="AZ47" s="1001" t="s">
        <v>916</v>
      </c>
      <c r="BE47" s="1001">
        <v>2045</v>
      </c>
      <c r="BH47" s="951" t="s">
        <v>1180</v>
      </c>
      <c r="BJ47" s="1083" t="s">
        <v>1209</v>
      </c>
      <c r="BL47" s="1083" t="s">
        <v>1209</v>
      </c>
      <c r="BN47" s="951" t="s">
        <v>1210</v>
      </c>
    </row>
    <row r="48" spans="1:66" ht="11.25" customHeight="1">
      <c r="A48" s="957" t="s">
        <v>1211</v>
      </c>
      <c r="E48" s="342" t="s">
        <v>493</v>
      </c>
      <c r="F48" s="996" t="s">
        <v>1194</v>
      </c>
      <c r="G48" s="998" t="str">
        <f>IF(f_year="","","01.01."&amp;f_year)</f>
        <v>01.01.2023</v>
      </c>
      <c r="H48" s="998" t="str">
        <f>IF(f_year="","","31.12."&amp;f_year)</f>
        <v>31.12.2023</v>
      </c>
      <c r="I48" s="1602" t="b">
        <f>IF(f_year="",TRUE,FALSE)</f>
        <v>0</v>
      </c>
      <c r="J48" s="1609" t="s">
        <v>1212</v>
      </c>
      <c r="K48" s="1610"/>
      <c r="AX48" s="1001" t="s">
        <v>1213</v>
      </c>
      <c r="AZ48" s="1001" t="s">
        <v>932</v>
      </c>
      <c r="BE48" s="1001">
        <v>2046</v>
      </c>
      <c r="BH48" s="951" t="s">
        <v>1184</v>
      </c>
      <c r="BJ48" s="1083" t="s">
        <v>1214</v>
      </c>
      <c r="BL48" s="1083" t="s">
        <v>1214</v>
      </c>
      <c r="BN48" s="951" t="s">
        <v>1215</v>
      </c>
    </row>
    <row r="49" spans="1:64" ht="11.25" customHeight="1">
      <c r="A49" s="957" t="s">
        <v>1216</v>
      </c>
      <c r="E49" s="342" t="s">
        <v>718</v>
      </c>
      <c r="F49" s="996" t="s">
        <v>1217</v>
      </c>
      <c r="G49" s="998" t="str">
        <f>IF(f_year="","","01.01."&amp;f_year)</f>
        <v>01.01.2023</v>
      </c>
      <c r="H49" s="998" t="str">
        <f>IF(f_year="","","31.12."&amp;f_year)</f>
        <v>31.12.2023</v>
      </c>
      <c r="I49" s="1602" t="b">
        <f>IF(f_year="",TRUE,FALSE)</f>
        <v>0</v>
      </c>
      <c r="J49" s="1609" t="str">
        <f>"Информация об условиях, на которых осуществляется поставка товаров (оказание услуг) в сфере "&amp;TEMPLATE_SPHERE_RUS</f>
        <v>Информация об условиях, на которых осуществляется поставка товаров (оказание услуг) в сфере горячего водоснабжения</v>
      </c>
      <c r="K49" s="1610"/>
      <c r="AX49" s="1001" t="s">
        <v>721</v>
      </c>
      <c r="AZ49" s="1001" t="s">
        <v>948</v>
      </c>
      <c r="BE49" s="1001">
        <v>2047</v>
      </c>
      <c r="BH49" s="951" t="s">
        <v>1218</v>
      </c>
      <c r="BJ49" s="1083" t="s">
        <v>1219</v>
      </c>
      <c r="BL49" s="1083" t="s">
        <v>1219</v>
      </c>
    </row>
    <row r="50" spans="1:64" ht="11.25" customHeight="1">
      <c r="A50" s="957" t="s">
        <v>1220</v>
      </c>
      <c r="E50" s="342" t="s">
        <v>725</v>
      </c>
      <c r="F50" s="996" t="s">
        <v>1221</v>
      </c>
      <c r="G50" s="998" t="str">
        <f>IF(f_year="","","01.01."&amp;f_year)</f>
        <v>01.01.2023</v>
      </c>
      <c r="H50" s="998" t="str">
        <f>IF(f_year="","","31.12."&amp;f_year)</f>
        <v>31.12.2023</v>
      </c>
      <c r="I50" s="1602" t="b">
        <f>IF(f_year="",TRUE,FALSE)</f>
        <v>0</v>
      </c>
      <c r="J50" s="1609" t="str">
        <f>"Информация об инвестиционных программах регулируемой организации в области "&amp;TEMPLATE_SPHERE_RUS</f>
        <v>Информация об инвестиционных программах регулируемой организации в области горячего водоснабжения</v>
      </c>
      <c r="K50" s="1610"/>
      <c r="AX50" s="1001" t="s">
        <v>1222</v>
      </c>
      <c r="AZ50" s="1001" t="s">
        <v>964</v>
      </c>
      <c r="BE50" s="1001">
        <v>2048</v>
      </c>
      <c r="BH50" s="951" t="s">
        <v>1191</v>
      </c>
      <c r="BJ50" s="1083" t="s">
        <v>1223</v>
      </c>
      <c r="BL50" s="1083" t="s">
        <v>1223</v>
      </c>
    </row>
    <row r="51" spans="1:64" ht="11.25" customHeight="1">
      <c r="A51" s="957" t="s">
        <v>1224</v>
      </c>
      <c r="E51" s="342" t="s">
        <v>726</v>
      </c>
      <c r="F51" s="996" t="s">
        <v>1225</v>
      </c>
      <c r="G51" s="998" t="str">
        <f>IF(TITLE_PERIOD_START="","",TITLE_PERIOD_START)</f>
        <v/>
      </c>
      <c r="H51" s="998" t="str">
        <f>IF(TITLE_PERIOD_END="","",TITLE_PERIOD_END)</f>
        <v/>
      </c>
      <c r="I51" s="1603" t="b">
        <f>IF(OR(TITLE_PERIOD_START="",TITLE_PERIOD_END=""),TRUE,FALSE)</f>
        <v>1</v>
      </c>
      <c r="J51" s="1609" t="str">
        <f>"Предложение регулируемой организации об установлении тарифов в сфере "&amp;TEMPLATE_SPHERE_RUS&amp;", информация о способах приобретения, стоимости и объемах товаров, необходимых для производства регулируемых товаров и (или) оказания регулируемых услуг"</f>
        <v>Предложение регулируемой организации об установлении тарифов в сфере горячего водоснабжения, информация о способах приобретения, стоимости и объемах товаров, необходимых для производства регулируемых товаров и (или) оказания регулируемых услуг</v>
      </c>
      <c r="K51" s="1610"/>
      <c r="AX51" s="1001" t="s">
        <v>1226</v>
      </c>
      <c r="AZ51" s="1001" t="s">
        <v>980</v>
      </c>
      <c r="BE51" s="1001">
        <v>2049</v>
      </c>
      <c r="BH51" s="951" t="s">
        <v>1201</v>
      </c>
      <c r="BJ51" s="1083" t="s">
        <v>1227</v>
      </c>
      <c r="BL51" s="1083" t="s">
        <v>1227</v>
      </c>
    </row>
    <row r="52" spans="1:64" ht="11.25" customHeight="1">
      <c r="A52" s="957" t="s">
        <v>1228</v>
      </c>
      <c r="E52" s="342" t="s">
        <v>727</v>
      </c>
      <c r="F52" s="996" t="s">
        <v>1229</v>
      </c>
      <c r="G52" s="998" t="str">
        <f>IF(TITLE_PERIOD_START="","",TITLE_PERIOD_START)</f>
        <v/>
      </c>
      <c r="H52" s="998" t="str">
        <f>IF(TITLE_PERIOD_END="","",TITLE_PERIOD_END)</f>
        <v/>
      </c>
      <c r="I52" s="1603" t="b">
        <f>IF(OR(TITLE_PERIOD_START="",TITLE_PERIOD_END=""),TRUE,FALSE)</f>
        <v>1</v>
      </c>
      <c r="J52" s="1609" t="str">
        <f>"Показатели, подлежащие раскрытию в сфере "&amp;TEMPLATE_SPHERE_RUS&amp;" (цены и тарифы)"</f>
        <v>Показатели, подлежащие раскрытию в сфере горячего водоснабжения (цены и тарифы)</v>
      </c>
      <c r="K52" s="1610"/>
      <c r="AX52" s="1001" t="s">
        <v>1230</v>
      </c>
      <c r="AZ52" s="1001" t="s">
        <v>777</v>
      </c>
      <c r="BE52" s="1001">
        <v>2050</v>
      </c>
      <c r="BH52" s="951" t="s">
        <v>1206</v>
      </c>
      <c r="BJ52" s="1083" t="s">
        <v>1175</v>
      </c>
      <c r="BL52" s="1083" t="s">
        <v>1175</v>
      </c>
    </row>
    <row r="53" spans="1:64" ht="11.25" customHeight="1">
      <c r="A53" s="957" t="s">
        <v>1231</v>
      </c>
      <c r="E53" s="342" t="s">
        <v>1232</v>
      </c>
      <c r="F53" s="996" t="s">
        <v>1232</v>
      </c>
      <c r="G53" s="998" t="str">
        <f>IF(f_year="","","01.01."&amp;f_year)</f>
        <v>01.01.2023</v>
      </c>
      <c r="H53" s="998" t="str">
        <f>IF(f_year="","","31.12."&amp;f_year)</f>
        <v>31.12.2023</v>
      </c>
      <c r="I53" s="1602" t="b">
        <f>IF(f_year="",TRUE,FALSE)</f>
        <v>0</v>
      </c>
      <c r="J53" s="1609" t="s">
        <v>1233</v>
      </c>
      <c r="K53" s="1610"/>
      <c r="AX53" s="1001" t="s">
        <v>1234</v>
      </c>
      <c r="BE53" s="1001">
        <v>2051</v>
      </c>
      <c r="BH53" s="951" t="s">
        <v>1210</v>
      </c>
      <c r="BJ53" s="1083" t="s">
        <v>1180</v>
      </c>
      <c r="BL53" s="1083" t="s">
        <v>1180</v>
      </c>
    </row>
    <row r="54" spans="1:64" ht="11.25" customHeight="1">
      <c r="A54" s="957" t="s">
        <v>1235</v>
      </c>
      <c r="AX54" s="1001" t="s">
        <v>1236</v>
      </c>
      <c r="AZ54" s="950" t="s">
        <v>1237</v>
      </c>
      <c r="BE54" s="1001">
        <v>2052</v>
      </c>
      <c r="BH54" s="951" t="s">
        <v>1215</v>
      </c>
      <c r="BJ54" s="1083" t="s">
        <v>1184</v>
      </c>
      <c r="BL54" s="1083" t="s">
        <v>1184</v>
      </c>
    </row>
    <row r="55" spans="1:64" ht="11.25" customHeight="1">
      <c r="A55" s="957" t="s">
        <v>1238</v>
      </c>
      <c r="AX55" s="1001" t="s">
        <v>1239</v>
      </c>
      <c r="AZ55" s="1001" t="s">
        <v>779</v>
      </c>
      <c r="BE55" s="1001">
        <v>2053</v>
      </c>
      <c r="BH55" s="953" t="s">
        <v>17</v>
      </c>
      <c r="BJ55" s="1083" t="s">
        <v>1218</v>
      </c>
      <c r="BL55" s="1083" t="s">
        <v>1218</v>
      </c>
    </row>
    <row r="56" spans="1:64" ht="11.25" customHeight="1">
      <c r="A56" s="957" t="s">
        <v>1240</v>
      </c>
      <c r="D56" s="1000" t="s">
        <v>1241</v>
      </c>
      <c r="E56" s="977">
        <v>55</v>
      </c>
      <c r="F56" s="957" t="s">
        <v>1242</v>
      </c>
      <c r="AX56" s="1001" t="s">
        <v>1243</v>
      </c>
      <c r="AZ56" s="1001" t="s">
        <v>808</v>
      </c>
      <c r="BE56" s="1001">
        <v>2054</v>
      </c>
      <c r="BH56" s="953" t="s">
        <v>17</v>
      </c>
      <c r="BJ56" s="1083" t="s">
        <v>1191</v>
      </c>
      <c r="BL56" s="1083" t="s">
        <v>1191</v>
      </c>
    </row>
    <row r="57" spans="1:64" ht="11.25" customHeight="1">
      <c r="A57" s="957" t="s">
        <v>1244</v>
      </c>
      <c r="D57" s="1000" t="s">
        <v>1245</v>
      </c>
      <c r="E57" s="977">
        <v>66</v>
      </c>
      <c r="F57" s="957" t="s">
        <v>1242</v>
      </c>
      <c r="AX57" s="1001" t="s">
        <v>1246</v>
      </c>
      <c r="AZ57" s="1001" t="s">
        <v>843</v>
      </c>
      <c r="BE57" s="1001">
        <v>2055</v>
      </c>
      <c r="BJ57" s="1083" t="s">
        <v>1201</v>
      </c>
      <c r="BL57" s="1083" t="s">
        <v>1201</v>
      </c>
    </row>
    <row r="58" spans="1:64" ht="11.25" customHeight="1">
      <c r="A58" s="957" t="s">
        <v>1247</v>
      </c>
      <c r="D58" s="1000" t="s">
        <v>1248</v>
      </c>
      <c r="E58" s="977">
        <v>44</v>
      </c>
      <c r="F58" s="957" t="s">
        <v>1242</v>
      </c>
      <c r="AX58" s="1001" t="s">
        <v>1249</v>
      </c>
      <c r="BE58" s="1001">
        <v>2056</v>
      </c>
      <c r="BJ58" s="1083" t="s">
        <v>1206</v>
      </c>
      <c r="BL58" s="1083" t="s">
        <v>1206</v>
      </c>
    </row>
    <row r="59" spans="1:64" ht="11.25" customHeight="1">
      <c r="A59" s="957" t="s">
        <v>1250</v>
      </c>
      <c r="D59" s="1000" t="s">
        <v>132</v>
      </c>
      <c r="E59" s="977" t="s">
        <v>1074</v>
      </c>
      <c r="F59" s="957" t="s">
        <v>1251</v>
      </c>
      <c r="AX59" s="1001" t="s">
        <v>1252</v>
      </c>
      <c r="AZ59" s="950" t="s">
        <v>1253</v>
      </c>
      <c r="BE59" s="1001">
        <v>2057</v>
      </c>
      <c r="BJ59" s="1083" t="s">
        <v>1210</v>
      </c>
      <c r="BL59" s="1083" t="s">
        <v>1210</v>
      </c>
    </row>
    <row r="60" spans="1:64" ht="11.25" customHeight="1">
      <c r="A60" s="957" t="s">
        <v>1254</v>
      </c>
      <c r="D60" s="1000" t="s">
        <v>1255</v>
      </c>
      <c r="E60" s="977" t="s">
        <v>1074</v>
      </c>
      <c r="F60" s="957" t="s">
        <v>1251</v>
      </c>
      <c r="AX60" s="1001" t="s">
        <v>1256</v>
      </c>
      <c r="AZ60" s="1001" t="s">
        <v>780</v>
      </c>
      <c r="BE60" s="1001">
        <v>2058</v>
      </c>
      <c r="BJ60" s="1083" t="s">
        <v>1215</v>
      </c>
      <c r="BL60" s="1083" t="s">
        <v>1215</v>
      </c>
    </row>
    <row r="61" spans="1:64" ht="11.25" customHeight="1">
      <c r="A61" s="957" t="s">
        <v>1257</v>
      </c>
      <c r="D61" s="1000" t="s">
        <v>1258</v>
      </c>
      <c r="E61" s="977">
        <v>26</v>
      </c>
      <c r="F61" s="957" t="s">
        <v>1251</v>
      </c>
      <c r="AX61" s="1001" t="s">
        <v>1259</v>
      </c>
      <c r="AZ61" s="1001" t="s">
        <v>809</v>
      </c>
      <c r="BE61" s="1001">
        <v>2059</v>
      </c>
      <c r="BL61" s="1083" t="s">
        <v>1260</v>
      </c>
    </row>
    <row r="62" spans="1:64" ht="11.25" customHeight="1">
      <c r="A62" s="957" t="s">
        <v>1261</v>
      </c>
      <c r="D62" s="1000" t="s">
        <v>131</v>
      </c>
      <c r="E62" s="977">
        <v>30</v>
      </c>
      <c r="F62" s="957" t="s">
        <v>1251</v>
      </c>
      <c r="AZ62" s="1001" t="s">
        <v>844</v>
      </c>
      <c r="BE62" s="1001">
        <v>2060</v>
      </c>
      <c r="BL62" s="1083" t="s">
        <v>1262</v>
      </c>
    </row>
    <row r="63" spans="1:64" ht="11.25" customHeight="1">
      <c r="A63" s="957" t="s">
        <v>1263</v>
      </c>
      <c r="D63" s="1000" t="s">
        <v>1264</v>
      </c>
      <c r="E63" s="977">
        <v>30</v>
      </c>
      <c r="F63" s="957" t="s">
        <v>1251</v>
      </c>
      <c r="AZ63" s="1001" t="s">
        <v>875</v>
      </c>
      <c r="BE63" s="1001">
        <v>2061</v>
      </c>
    </row>
    <row r="64" spans="1:64" ht="11.25" customHeight="1">
      <c r="A64" s="957" t="s">
        <v>1265</v>
      </c>
      <c r="D64" s="1000" t="s">
        <v>1266</v>
      </c>
      <c r="E64" s="977">
        <v>30</v>
      </c>
      <c r="F64" s="957" t="s">
        <v>1251</v>
      </c>
      <c r="AZ64" s="1001" t="s">
        <v>898</v>
      </c>
      <c r="BE64" s="1001">
        <v>2062</v>
      </c>
    </row>
    <row r="65" spans="1:66" ht="11.25" customHeight="1">
      <c r="A65" s="957" t="s">
        <v>1267</v>
      </c>
      <c r="D65" s="957"/>
      <c r="BE65" s="1001">
        <v>2063</v>
      </c>
    </row>
    <row r="66" spans="1:66" ht="11.25" customHeight="1">
      <c r="A66" s="957" t="s">
        <v>1268</v>
      </c>
      <c r="AZ66" s="950" t="s">
        <v>1269</v>
      </c>
      <c r="BE66" s="1001">
        <v>2064</v>
      </c>
    </row>
    <row r="67" spans="1:66" ht="11.25" customHeight="1">
      <c r="A67" s="957" t="s">
        <v>1270</v>
      </c>
      <c r="AZ67" s="1001" t="s">
        <v>781</v>
      </c>
      <c r="BE67" s="1001">
        <v>2065</v>
      </c>
    </row>
    <row r="68" spans="1:66" ht="11.25" customHeight="1">
      <c r="A68" s="957" t="s">
        <v>1271</v>
      </c>
      <c r="AZ68" s="1001" t="s">
        <v>810</v>
      </c>
      <c r="BE68" s="1001">
        <v>2066</v>
      </c>
      <c r="BH68" s="950" t="s">
        <v>1272</v>
      </c>
      <c r="BJ68" s="950" t="s">
        <v>1273</v>
      </c>
      <c r="BL68" s="950" t="s">
        <v>1274</v>
      </c>
      <c r="BN68" s="950" t="s">
        <v>1275</v>
      </c>
    </row>
    <row r="69" spans="1:66" ht="11.25" customHeight="1">
      <c r="A69" s="957" t="s">
        <v>1276</v>
      </c>
      <c r="AZ69" s="1001" t="s">
        <v>845</v>
      </c>
      <c r="BE69" s="1001">
        <v>2067</v>
      </c>
      <c r="BH69" s="951" t="s">
        <v>1277</v>
      </c>
      <c r="BI69" s="999" t="s">
        <v>108</v>
      </c>
      <c r="BJ69" s="951" t="s">
        <v>1278</v>
      </c>
      <c r="BK69" s="999" t="s">
        <v>108</v>
      </c>
      <c r="BL69" s="951" t="s">
        <v>1279</v>
      </c>
      <c r="BN69" s="951" t="s">
        <v>1280</v>
      </c>
    </row>
    <row r="70" spans="1:66" ht="11.25" customHeight="1">
      <c r="A70" s="957" t="s">
        <v>1281</v>
      </c>
      <c r="AZ70" s="1001" t="s">
        <v>876</v>
      </c>
      <c r="BE70" s="1001">
        <v>2068</v>
      </c>
      <c r="BH70" s="951" t="s">
        <v>1282</v>
      </c>
      <c r="BJ70" s="951" t="s">
        <v>1283</v>
      </c>
      <c r="BL70" s="951" t="s">
        <v>1284</v>
      </c>
      <c r="BN70" s="951" t="s">
        <v>1285</v>
      </c>
    </row>
    <row r="71" spans="1:66" ht="11.25" customHeight="1">
      <c r="A71" s="957" t="s">
        <v>1286</v>
      </c>
      <c r="AZ71" s="1001" t="s">
        <v>878</v>
      </c>
      <c r="BE71" s="1001">
        <v>2069</v>
      </c>
      <c r="BH71" s="951" t="s">
        <v>1287</v>
      </c>
      <c r="BI71" s="999" t="s">
        <v>89</v>
      </c>
      <c r="BJ71" s="951" t="s">
        <v>1288</v>
      </c>
      <c r="BK71" s="999" t="s">
        <v>89</v>
      </c>
      <c r="BL71" s="951" t="s">
        <v>1289</v>
      </c>
      <c r="BN71" s="951" t="s">
        <v>1290</v>
      </c>
    </row>
    <row r="72" spans="1:66" ht="11.25" customHeight="1">
      <c r="A72" s="957" t="s">
        <v>1291</v>
      </c>
      <c r="AZ72" s="1001" t="s">
        <v>55</v>
      </c>
      <c r="BE72" s="1001">
        <v>2070</v>
      </c>
      <c r="BH72" s="951" t="s">
        <v>1292</v>
      </c>
      <c r="BJ72" s="951" t="s">
        <v>1292</v>
      </c>
      <c r="BL72" s="951" t="s">
        <v>1292</v>
      </c>
      <c r="BN72" s="951" t="s">
        <v>1293</v>
      </c>
    </row>
    <row r="73" spans="1:66" ht="11.25" customHeight="1">
      <c r="A73" s="957" t="s">
        <v>1294</v>
      </c>
      <c r="BH73" s="951" t="s">
        <v>1295</v>
      </c>
      <c r="BI73" s="999" t="s">
        <v>110</v>
      </c>
      <c r="BJ73" s="951" t="s">
        <v>1296</v>
      </c>
      <c r="BK73" s="999" t="s">
        <v>110</v>
      </c>
      <c r="BL73" s="951" t="s">
        <v>1297</v>
      </c>
      <c r="BN73" s="951" t="s">
        <v>1298</v>
      </c>
    </row>
    <row r="74" spans="1:66" ht="11.25" customHeight="1">
      <c r="A74" s="957" t="s">
        <v>1299</v>
      </c>
      <c r="BH74" s="951" t="s">
        <v>1300</v>
      </c>
      <c r="BJ74" s="951" t="s">
        <v>1301</v>
      </c>
      <c r="BL74" s="951" t="s">
        <v>1302</v>
      </c>
      <c r="BN74" s="951" t="s">
        <v>1303</v>
      </c>
    </row>
    <row r="75" spans="1:66" ht="11.25" customHeight="1">
      <c r="A75" s="957" t="s">
        <v>1304</v>
      </c>
      <c r="AZ75" s="950" t="s">
        <v>1305</v>
      </c>
      <c r="BH75" s="951" t="s">
        <v>1306</v>
      </c>
      <c r="BJ75" s="951" t="s">
        <v>1306</v>
      </c>
      <c r="BL75" s="951" t="s">
        <v>1306</v>
      </c>
    </row>
    <row r="76" spans="1:66" ht="11.25" customHeight="1">
      <c r="A76" s="957" t="s">
        <v>1307</v>
      </c>
      <c r="AZ76" s="1001" t="s">
        <v>790</v>
      </c>
      <c r="BH76" s="951" t="s">
        <v>1308</v>
      </c>
      <c r="BJ76" s="951" t="s">
        <v>1309</v>
      </c>
      <c r="BL76" s="951" t="s">
        <v>1310</v>
      </c>
    </row>
    <row r="77" spans="1:66" ht="11.25" customHeight="1">
      <c r="A77" s="957" t="s">
        <v>1311</v>
      </c>
      <c r="AZ77" s="1001" t="s">
        <v>820</v>
      </c>
    </row>
    <row r="78" spans="1:66" ht="11.25" customHeight="1">
      <c r="A78" s="957" t="s">
        <v>1312</v>
      </c>
      <c r="AZ78" s="1001" t="s">
        <v>852</v>
      </c>
    </row>
    <row r="79" spans="1:66" ht="11.25" customHeight="1">
      <c r="A79" s="957" t="s">
        <v>1313</v>
      </c>
      <c r="AZ79" s="1001" t="s">
        <v>882</v>
      </c>
      <c r="BH79" s="950" t="s">
        <v>1314</v>
      </c>
      <c r="BJ79" s="950" t="s">
        <v>1315</v>
      </c>
      <c r="BL79" s="950" t="s">
        <v>1316</v>
      </c>
    </row>
    <row r="80" spans="1:66" ht="11.25" customHeight="1">
      <c r="A80" s="957" t="s">
        <v>1317</v>
      </c>
      <c r="AZ80" s="1001" t="s">
        <v>903</v>
      </c>
      <c r="BH80" s="951" t="s">
        <v>1318</v>
      </c>
      <c r="BJ80" s="951" t="s">
        <v>1319</v>
      </c>
      <c r="BL80" s="951" t="s">
        <v>1320</v>
      </c>
    </row>
    <row r="81" spans="1:66" ht="11.25" customHeight="1">
      <c r="A81" s="957" t="s">
        <v>1321</v>
      </c>
      <c r="AZ81" s="1001" t="s">
        <v>920</v>
      </c>
      <c r="BH81" s="951" t="s">
        <v>1322</v>
      </c>
      <c r="BJ81" s="951" t="s">
        <v>1323</v>
      </c>
      <c r="BL81" s="951" t="s">
        <v>1324</v>
      </c>
    </row>
    <row r="82" spans="1:66" ht="11.25" customHeight="1">
      <c r="A82" s="957" t="s">
        <v>1325</v>
      </c>
      <c r="AZ82" s="1001" t="s">
        <v>934</v>
      </c>
      <c r="BH82" s="951" t="s">
        <v>1326</v>
      </c>
      <c r="BJ82" s="951" t="s">
        <v>1327</v>
      </c>
      <c r="BL82" s="951" t="s">
        <v>1328</v>
      </c>
    </row>
    <row r="83" spans="1:66" ht="11.25" customHeight="1">
      <c r="A83" s="957" t="s">
        <v>1329</v>
      </c>
      <c r="BH83" s="951" t="s">
        <v>1330</v>
      </c>
      <c r="BJ83" s="951" t="s">
        <v>1331</v>
      </c>
      <c r="BL83" s="951" t="s">
        <v>1332</v>
      </c>
    </row>
    <row r="84" spans="1:66" ht="11.25" customHeight="1">
      <c r="A84" s="957" t="s">
        <v>1333</v>
      </c>
      <c r="AZ84" s="950" t="s">
        <v>1334</v>
      </c>
    </row>
    <row r="85" spans="1:66" ht="11.25" customHeight="1">
      <c r="A85" s="957" t="s">
        <v>1335</v>
      </c>
      <c r="AZ85" s="1001" t="s">
        <v>1336</v>
      </c>
    </row>
    <row r="86" spans="1:66" ht="11.25" customHeight="1">
      <c r="A86" s="957" t="s">
        <v>1337</v>
      </c>
      <c r="AZ86" s="1001" t="s">
        <v>1338</v>
      </c>
      <c r="BH86" s="950" t="s">
        <v>1339</v>
      </c>
      <c r="BJ86" s="950" t="s">
        <v>1340</v>
      </c>
      <c r="BL86" s="950" t="s">
        <v>1341</v>
      </c>
    </row>
    <row r="87" spans="1:66" ht="11.25" customHeight="1">
      <c r="A87" s="957" t="s">
        <v>1342</v>
      </c>
      <c r="AZ87" s="1001" t="s">
        <v>1343</v>
      </c>
      <c r="BH87" s="951" t="s">
        <v>1344</v>
      </c>
      <c r="BJ87" s="951" t="s">
        <v>1345</v>
      </c>
      <c r="BL87" s="951" t="s">
        <v>1346</v>
      </c>
    </row>
    <row r="88" spans="1:66" ht="11.25" customHeight="1">
      <c r="AZ88" s="1470"/>
      <c r="BH88" s="951" t="s">
        <v>1347</v>
      </c>
      <c r="BJ88" s="951" t="s">
        <v>1348</v>
      </c>
      <c r="BL88" s="951" t="s">
        <v>1349</v>
      </c>
    </row>
    <row r="89" spans="1:66" ht="11.25" customHeight="1">
      <c r="AZ89" s="950" t="s">
        <v>1350</v>
      </c>
    </row>
    <row r="90" spans="1:66" ht="11.25" customHeight="1">
      <c r="AZ90" s="1001" t="s">
        <v>1221</v>
      </c>
    </row>
    <row r="91" spans="1:66" ht="11.25" customHeight="1">
      <c r="AZ91" s="1001" t="s">
        <v>1351</v>
      </c>
      <c r="BH91" s="950" t="s">
        <v>1352</v>
      </c>
      <c r="BJ91" s="950" t="s">
        <v>1353</v>
      </c>
      <c r="BL91" s="950" t="s">
        <v>1354</v>
      </c>
    </row>
    <row r="92" spans="1:66" ht="11.25" customHeight="1">
      <c r="AZ92" s="1001" t="s">
        <v>1355</v>
      </c>
      <c r="BH92" s="951" t="s">
        <v>1356</v>
      </c>
      <c r="BJ92" s="951" t="s">
        <v>1357</v>
      </c>
      <c r="BL92" s="951" t="s">
        <v>1358</v>
      </c>
    </row>
    <row r="93" spans="1:66" ht="11.25" customHeight="1">
      <c r="AZ93" s="1001" t="s">
        <v>1359</v>
      </c>
      <c r="BH93" s="951" t="s">
        <v>1360</v>
      </c>
      <c r="BJ93" s="951" t="s">
        <v>1361</v>
      </c>
      <c r="BL93" s="951" t="s">
        <v>1362</v>
      </c>
    </row>
    <row r="94" spans="1:66" ht="11.25" customHeight="1">
      <c r="AZ94" s="1001" t="s">
        <v>1363</v>
      </c>
    </row>
    <row r="96" spans="1:66" ht="11.25" customHeight="1">
      <c r="BH96" s="950" t="s">
        <v>1364</v>
      </c>
      <c r="BJ96" s="950" t="s">
        <v>1365</v>
      </c>
      <c r="BL96" s="950" t="s">
        <v>1366</v>
      </c>
      <c r="BN96" s="950" t="s">
        <v>1367</v>
      </c>
    </row>
    <row r="97" spans="60:66" ht="11.25" customHeight="1">
      <c r="BH97" s="951" t="s">
        <v>1368</v>
      </c>
      <c r="BJ97" s="951" t="s">
        <v>1369</v>
      </c>
      <c r="BL97" s="951" t="s">
        <v>1370</v>
      </c>
      <c r="BN97" s="951" t="s">
        <v>1371</v>
      </c>
    </row>
    <row r="98" spans="60:66" ht="11.25" customHeight="1">
      <c r="BH98" s="951" t="s">
        <v>1372</v>
      </c>
      <c r="BJ98" s="951" t="s">
        <v>1373</v>
      </c>
      <c r="BL98" s="951" t="s">
        <v>1374</v>
      </c>
      <c r="BN98" s="951" t="s">
        <v>1375</v>
      </c>
    </row>
    <row r="99" spans="60:66" ht="11.25" customHeight="1">
      <c r="BH99" s="951" t="s">
        <v>1376</v>
      </c>
      <c r="BJ99" s="951" t="s">
        <v>1377</v>
      </c>
      <c r="BL99" s="951" t="s">
        <v>1378</v>
      </c>
      <c r="BN99" s="951" t="s">
        <v>1379</v>
      </c>
    </row>
    <row r="100" spans="60:66" ht="11.25" customHeight="1">
      <c r="BJ100" s="951" t="s">
        <v>980</v>
      </c>
      <c r="BL100" s="951" t="s">
        <v>980</v>
      </c>
      <c r="BN100" s="951" t="s">
        <v>1380</v>
      </c>
    </row>
    <row r="101" spans="60:66" ht="11.25" customHeight="1">
      <c r="BN101" s="951" t="s">
        <v>1381</v>
      </c>
    </row>
    <row r="102" spans="60:66" ht="11.25" customHeight="1">
      <c r="BN102" s="951" t="s">
        <v>1382</v>
      </c>
    </row>
    <row r="103" spans="60:66" ht="11.25" customHeight="1">
      <c r="BN103" s="951" t="s">
        <v>1383</v>
      </c>
    </row>
    <row r="104" spans="60:66" ht="11.25" customHeight="1">
      <c r="BN104" s="951" t="s">
        <v>1384</v>
      </c>
    </row>
    <row r="107" spans="60:66" ht="11.25" customHeight="1">
      <c r="BH107" s="950" t="s">
        <v>1385</v>
      </c>
      <c r="BJ107" s="950" t="s">
        <v>1386</v>
      </c>
      <c r="BL107" s="950" t="s">
        <v>1387</v>
      </c>
      <c r="BN107" s="950" t="s">
        <v>1388</v>
      </c>
    </row>
    <row r="108" spans="60:66" ht="11.25" customHeight="1">
      <c r="BH108" s="951" t="s">
        <v>1389</v>
      </c>
      <c r="BJ108" s="951" t="s">
        <v>1390</v>
      </c>
      <c r="BL108" s="951" t="s">
        <v>1391</v>
      </c>
      <c r="BN108" s="951" t="s">
        <v>1392</v>
      </c>
    </row>
    <row r="109" spans="60:66" ht="11.25" customHeight="1">
      <c r="BH109" s="951" t="s">
        <v>1393</v>
      </c>
    </row>
    <row r="110" spans="60:66" ht="11.25" customHeight="1">
      <c r="BH110" s="951" t="s">
        <v>1393</v>
      </c>
    </row>
    <row r="114" spans="60:60" ht="11.25" customHeight="1">
      <c r="BH114" s="950" t="s">
        <v>1394</v>
      </c>
    </row>
    <row r="115" spans="60:60" ht="11.25" customHeight="1">
      <c r="BH115" s="951" t="s">
        <v>777</v>
      </c>
    </row>
    <row r="116" spans="60:60" ht="11.25" customHeight="1">
      <c r="BH116" s="951" t="s">
        <v>806</v>
      </c>
    </row>
    <row r="117" spans="60:60" ht="11.25" customHeight="1">
      <c r="BH117" s="951" t="s">
        <v>841</v>
      </c>
    </row>
    <row r="118" spans="60:60" ht="11.25" customHeight="1">
      <c r="BH118" s="951" t="s">
        <v>873</v>
      </c>
    </row>
  </sheetData>
  <sheetProtection formatColumns="0" formatRows="0" insertRows="0" deleteColumns="0" deleteRows="0" sort="0" autoFilter="0"/>
  <pageMargins left="0.75" right="0.75" top="1" bottom="1" header="0.5" footer="0.5"/>
  <pageSetup paperSize="9" orientation="portrait"/>
  <headerFooter>
    <oddHeader>&amp;L&amp;C&amp;R</oddHeader>
    <oddFooter>&amp;L&amp;C&amp;R</oddFooter>
    <evenHeader>&amp;L&amp;C&amp;R</evenHeader>
    <evenFooter>&amp;L&amp;C&amp;R</evenFooter>
  </headerFooter>
  <legacyDrawing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C99"/>
  </sheetPr>
  <dimension ref="A1:HL203"/>
  <sheetViews>
    <sheetView showGridLines="0" zoomScale="85" workbookViewId="0"/>
  </sheetViews>
  <sheetFormatPr defaultRowHeight="17.100000000000001" customHeight="1"/>
  <cols>
    <col min="1" max="1" width="26.5703125" style="1969" customWidth="1"/>
    <col min="2" max="2" width="10" style="1969" customWidth="1"/>
    <col min="4" max="4" width="11.140625" style="1969" customWidth="1"/>
    <col min="5" max="5" width="16.5703125" style="1969" customWidth="1"/>
    <col min="6" max="6" width="16.28515625" style="1969" customWidth="1"/>
    <col min="7" max="7" width="19.140625" style="1969" customWidth="1"/>
    <col min="8" max="11" width="10" style="1969" customWidth="1"/>
    <col min="12" max="12" width="12.7109375" style="1969" customWidth="1"/>
    <col min="13" max="13" width="61.28515625" style="1969" customWidth="1"/>
    <col min="14" max="14" width="10" style="1969" customWidth="1"/>
    <col min="15" max="17" width="23.7109375" style="1969" customWidth="1"/>
    <col min="18" max="18" width="11.7109375" style="1969" customWidth="1"/>
    <col min="19" max="19" width="8.5703125" style="1969" customWidth="1"/>
    <col min="20" max="20" width="11.7109375" style="1969" customWidth="1"/>
    <col min="21" max="21" width="8.5703125" style="1969" customWidth="1"/>
    <col min="22" max="22" width="4.7109375" style="1969" customWidth="1"/>
    <col min="23" max="23" width="115.7109375" style="1969" customWidth="1"/>
    <col min="24" max="24" width="115.28515625" style="1969" customWidth="1"/>
    <col min="28" max="28" width="115.7109375" style="1969" customWidth="1"/>
    <col min="30" max="90" width="115.7109375" style="1969" customWidth="1"/>
  </cols>
  <sheetData>
    <row r="1" spans="1:80" s="1969" customFormat="1" ht="17.25" customHeight="1"/>
    <row r="2" spans="1:80" s="1737" customFormat="1" ht="17.25" customHeight="1">
      <c r="A2" s="1737" t="s">
        <v>1395</v>
      </c>
    </row>
    <row r="3" spans="1:80" s="1969" customFormat="1" ht="17.25" customHeight="1"/>
    <row r="4" spans="1:80" s="1729" customFormat="1" ht="15" customHeight="1">
      <c r="C4" s="67"/>
      <c r="D4" s="1738"/>
      <c r="E4" s="1739"/>
    </row>
    <row r="6" spans="1:80" s="1737" customFormat="1" ht="17.25" customHeight="1">
      <c r="A6" s="21" t="s">
        <v>1396</v>
      </c>
    </row>
    <row r="8" spans="1:80" s="1729" customFormat="1" ht="17.25" customHeight="1">
      <c r="C8" s="29"/>
      <c r="D8" s="1738"/>
      <c r="E8" s="1740"/>
    </row>
    <row r="10" spans="1:80" s="1969" customFormat="1" ht="17.25" customHeight="1"/>
    <row r="11" spans="1:80" s="1737" customFormat="1" ht="17.25" customHeight="1">
      <c r="A11" s="21" t="s">
        <v>1397</v>
      </c>
    </row>
    <row r="12" spans="1:80" s="1969" customFormat="1" ht="17.25" customHeight="1"/>
    <row r="13" spans="1:80" s="1648" customFormat="1" ht="14.25" customHeight="1">
      <c r="A13" s="2115">
        <v>1</v>
      </c>
      <c r="B13" s="1742"/>
      <c r="C13" s="707" t="s">
        <v>1110</v>
      </c>
      <c r="D13" s="1743"/>
      <c r="E13" s="1744">
        <f>A13</f>
        <v>1</v>
      </c>
      <c r="F13" s="1745"/>
      <c r="G13" s="1746" t="str">
        <f>"Территория "&amp;E13</f>
        <v>Территория 1</v>
      </c>
      <c r="H13" s="1747"/>
      <c r="I13" s="1747"/>
      <c r="J13" s="1748"/>
      <c r="K13" s="428"/>
      <c r="L13" s="428"/>
      <c r="M13" s="428"/>
      <c r="N13" s="148"/>
      <c r="O13" s="428"/>
      <c r="P13" s="1749"/>
      <c r="Q13" s="1749"/>
      <c r="R13" s="1749"/>
      <c r="S13" s="1749"/>
    </row>
    <row r="14" spans="1:80" s="1969" customFormat="1" ht="15" customHeight="1">
      <c r="A14" s="2115"/>
      <c r="B14" s="352">
        <v>1</v>
      </c>
      <c r="C14" s="352"/>
      <c r="D14" s="1750" t="s">
        <v>1110</v>
      </c>
      <c r="E14" s="1751" t="str">
        <f>A13&amp;"."&amp;B14</f>
        <v>1.1</v>
      </c>
      <c r="F14" s="1752">
        <f>$F$16</f>
        <v>0</v>
      </c>
      <c r="G14" s="1753"/>
      <c r="H14" s="1753"/>
      <c r="I14" s="1754"/>
      <c r="J14" s="428" t="e">
        <f ca="1">MERGEVALUE(G14)</f>
        <v>#NAME?</v>
      </c>
      <c r="K14" s="1755"/>
      <c r="L14" s="1755"/>
      <c r="M14" s="428" t="str">
        <f t="array" ref="M14">IF(ISERROR(MATCH(MID(N14,1,250),MID(note_ter,1,250),0)),"n","y")</f>
        <v>n</v>
      </c>
      <c r="N14" s="1755"/>
      <c r="O14" s="428" t="str">
        <f>H14&amp;"("&amp;I14&amp;")"</f>
        <v>()</v>
      </c>
      <c r="P14" s="352"/>
      <c r="Q14" s="352"/>
      <c r="R14" s="1756"/>
      <c r="S14" s="352"/>
      <c r="T14" s="352"/>
      <c r="U14" s="352"/>
      <c r="V14" s="1757"/>
      <c r="W14" s="1757"/>
      <c r="X14" s="1758"/>
      <c r="Y14" s="353"/>
      <c r="Z14" s="353"/>
      <c r="AA14" s="353"/>
      <c r="AB14" s="1758"/>
      <c r="AC14" s="353"/>
      <c r="AD14" s="1758"/>
      <c r="AE14" s="1758"/>
      <c r="AF14" s="1758"/>
      <c r="AG14" s="1758"/>
      <c r="AH14" s="1758"/>
      <c r="AI14" s="1758"/>
      <c r="AJ14" s="1758"/>
      <c r="AK14" s="1758"/>
      <c r="AL14" s="1758"/>
      <c r="AM14" s="1758"/>
      <c r="AN14" s="1758"/>
      <c r="AO14" s="1758"/>
      <c r="AP14" s="1758"/>
      <c r="AQ14" s="1758"/>
      <c r="AR14" s="1758"/>
      <c r="AS14" s="1758"/>
      <c r="AT14" s="1758"/>
      <c r="AU14" s="1758"/>
      <c r="AV14" s="1758"/>
      <c r="AW14" s="1758"/>
      <c r="AX14" s="1758"/>
      <c r="AY14" s="1758"/>
      <c r="AZ14" s="1758"/>
      <c r="BA14" s="1758"/>
      <c r="BB14" s="1758"/>
      <c r="BC14" s="1758"/>
      <c r="BD14" s="1758"/>
      <c r="BE14" s="1758"/>
      <c r="BF14" s="1758"/>
      <c r="BG14" s="1758"/>
      <c r="BH14" s="1758"/>
      <c r="BI14" s="1758"/>
      <c r="BJ14" s="1758"/>
      <c r="BK14" s="1758"/>
      <c r="BL14" s="1758"/>
      <c r="BM14" s="1758"/>
      <c r="BN14" s="1758"/>
      <c r="BO14" s="1758"/>
      <c r="BP14" s="1758"/>
      <c r="BQ14" s="1758"/>
      <c r="BR14" s="1758"/>
      <c r="BS14" s="1757"/>
      <c r="BT14" s="1757"/>
      <c r="BU14" s="1757"/>
      <c r="BV14" s="1757"/>
      <c r="BW14" s="1757"/>
      <c r="BX14" s="1757"/>
      <c r="BY14" s="1757"/>
      <c r="BZ14" s="1757"/>
      <c r="CA14" s="1757"/>
      <c r="CB14" s="1757"/>
    </row>
    <row r="15" spans="1:80" s="1969" customFormat="1" ht="15" customHeight="1">
      <c r="A15" s="2115"/>
      <c r="B15" s="352"/>
      <c r="C15" s="347"/>
      <c r="D15" s="1759"/>
      <c r="E15" s="1760"/>
      <c r="F15" s="1761"/>
      <c r="G15" s="1762" t="s">
        <v>101</v>
      </c>
      <c r="H15" s="1763"/>
      <c r="I15" s="1764"/>
      <c r="J15" s="1755"/>
      <c r="K15" s="1755"/>
      <c r="L15" s="1755"/>
      <c r="M15" s="1755"/>
      <c r="N15" s="428"/>
      <c r="O15" s="1755"/>
      <c r="P15" s="352"/>
      <c r="Q15" s="352"/>
      <c r="R15" s="1756"/>
      <c r="S15" s="352"/>
      <c r="T15" s="352"/>
      <c r="U15" s="352"/>
      <c r="V15" s="1757"/>
      <c r="W15" s="1757"/>
      <c r="X15" s="1758"/>
      <c r="Y15" s="353"/>
      <c r="Z15" s="353"/>
      <c r="AA15" s="353"/>
      <c r="AB15" s="1758"/>
      <c r="AC15" s="353"/>
      <c r="AD15" s="1758"/>
      <c r="AE15" s="1758"/>
      <c r="AF15" s="1758"/>
      <c r="AG15" s="1758"/>
      <c r="AH15" s="1758"/>
      <c r="AI15" s="1758"/>
      <c r="AJ15" s="1758"/>
      <c r="AK15" s="1758"/>
      <c r="AL15" s="1758"/>
      <c r="AM15" s="1758"/>
      <c r="AN15" s="1758"/>
      <c r="AO15" s="1758"/>
      <c r="AP15" s="1758"/>
      <c r="AQ15" s="1758"/>
      <c r="AR15" s="1758"/>
      <c r="AS15" s="1758"/>
      <c r="AT15" s="1758"/>
      <c r="AU15" s="1758"/>
      <c r="AV15" s="1758"/>
      <c r="AW15" s="1758"/>
      <c r="AX15" s="1758"/>
      <c r="AY15" s="1758"/>
      <c r="AZ15" s="1758"/>
      <c r="BA15" s="1758"/>
      <c r="BB15" s="1758"/>
      <c r="BC15" s="1758"/>
      <c r="BD15" s="1758"/>
      <c r="BE15" s="1758"/>
      <c r="BF15" s="1758"/>
      <c r="BG15" s="1758"/>
      <c r="BH15" s="1758"/>
      <c r="BI15" s="1758"/>
      <c r="BJ15" s="1758"/>
      <c r="BK15" s="1758"/>
      <c r="BL15" s="1758"/>
      <c r="BM15" s="1758"/>
      <c r="BN15" s="1758"/>
      <c r="BO15" s="1758"/>
      <c r="BP15" s="1758"/>
      <c r="BQ15" s="1758"/>
      <c r="BR15" s="1758"/>
      <c r="BS15" s="1757"/>
      <c r="BT15" s="1757"/>
      <c r="BU15" s="1757"/>
      <c r="BV15" s="1757"/>
      <c r="BW15" s="1757"/>
      <c r="BX15" s="1757"/>
      <c r="BY15" s="1757"/>
      <c r="BZ15" s="1757"/>
      <c r="CA15" s="1757"/>
      <c r="CB15" s="1757"/>
    </row>
    <row r="16" spans="1:80" s="1969" customFormat="1" ht="17.25" customHeight="1"/>
    <row r="17" spans="1:38" s="1969" customFormat="1" ht="15" customHeight="1">
      <c r="A17" s="21" t="s">
        <v>1398</v>
      </c>
      <c r="B17" s="21"/>
      <c r="C17" s="21"/>
      <c r="D17" s="21"/>
      <c r="E17" s="21"/>
      <c r="F17" s="21"/>
      <c r="G17" s="21"/>
      <c r="H17" s="21"/>
      <c r="I17" s="21"/>
      <c r="J17" s="21"/>
      <c r="K17" s="21"/>
      <c r="L17" s="21"/>
      <c r="M17" s="21"/>
      <c r="N17" s="21"/>
      <c r="O17" s="21"/>
      <c r="P17" s="21"/>
      <c r="Q17" s="21"/>
      <c r="R17" s="21"/>
      <c r="S17" s="21"/>
      <c r="T17" s="21"/>
      <c r="U17" s="1765"/>
      <c r="V17" s="21"/>
      <c r="W17" s="21"/>
    </row>
    <row r="18" spans="1:38" s="1969" customFormat="1" ht="15" customHeight="1">
      <c r="U18" s="1766"/>
    </row>
    <row r="19" spans="1:38" s="1933" customFormat="1" ht="15" customHeight="1">
      <c r="A19" s="211"/>
      <c r="B19" s="211"/>
      <c r="C19" s="1584" t="s">
        <v>1110</v>
      </c>
      <c r="D19" s="2018" t="s">
        <v>108</v>
      </c>
      <c r="E19" s="2175"/>
      <c r="F19" s="2017" t="s">
        <v>55</v>
      </c>
      <c r="G19" s="2176"/>
      <c r="H19" s="2007">
        <v>1</v>
      </c>
      <c r="I19" s="2178" t="str">
        <f>IF(U19="","",INDEX(TERRITORY_MR_LIST,MATCH(U19,TERRITORY_LIST_ID,0)))</f>
        <v/>
      </c>
      <c r="J19" s="2017" t="s">
        <v>55</v>
      </c>
      <c r="K19" s="737"/>
      <c r="L19" s="710" t="s">
        <v>108</v>
      </c>
      <c r="M19" s="1767"/>
      <c r="N19" s="1768"/>
      <c r="O19" s="1768"/>
      <c r="P19" s="1768"/>
      <c r="Q19" s="1768"/>
      <c r="R19" s="1768"/>
      <c r="S19" s="1768"/>
      <c r="T19" s="1768"/>
      <c r="U19" s="1769"/>
      <c r="V19" s="1768"/>
      <c r="W19" s="1768"/>
      <c r="X19" s="520"/>
      <c r="Y19" s="520" t="s">
        <v>119</v>
      </c>
      <c r="Z19" s="520">
        <v>1705000</v>
      </c>
      <c r="AA19" s="520"/>
      <c r="AB19" s="520"/>
      <c r="AC19" s="520"/>
      <c r="AD19" s="520"/>
      <c r="AE19" s="520"/>
      <c r="AF19" s="520"/>
      <c r="AG19" s="520"/>
      <c r="AH19" s="520"/>
      <c r="AI19" s="520"/>
      <c r="AJ19" s="520"/>
      <c r="AK19" s="520"/>
      <c r="AL19" s="520"/>
    </row>
    <row r="20" spans="1:38" s="1933" customFormat="1" ht="15" customHeight="1">
      <c r="A20" s="211"/>
      <c r="B20" s="211"/>
      <c r="C20" s="104"/>
      <c r="D20" s="2018"/>
      <c r="E20" s="2175"/>
      <c r="F20" s="2017"/>
      <c r="G20" s="2177"/>
      <c r="H20" s="2007"/>
      <c r="I20" s="2179"/>
      <c r="J20" s="2017"/>
      <c r="K20" s="355"/>
      <c r="L20" s="105"/>
      <c r="M20" s="1770" t="s">
        <v>120</v>
      </c>
      <c r="N20" s="1768"/>
      <c r="O20" s="1768"/>
      <c r="P20" s="1768"/>
      <c r="Q20" s="1768"/>
      <c r="R20" s="1768"/>
      <c r="S20" s="1768"/>
      <c r="T20" s="1768"/>
      <c r="U20" s="1769"/>
      <c r="V20" s="1768"/>
      <c r="W20" s="1768"/>
      <c r="X20" s="520"/>
      <c r="Y20" s="520"/>
      <c r="Z20" s="520"/>
      <c r="AA20" s="520"/>
      <c r="AB20" s="520"/>
      <c r="AC20" s="520"/>
      <c r="AD20" s="520"/>
      <c r="AE20" s="520"/>
      <c r="AF20" s="520"/>
      <c r="AG20" s="520"/>
      <c r="AH20" s="520"/>
      <c r="AI20" s="520"/>
      <c r="AJ20" s="520"/>
      <c r="AK20" s="520"/>
      <c r="AL20" s="520"/>
    </row>
    <row r="21" spans="1:38" s="1933" customFormat="1" ht="15" customHeight="1">
      <c r="A21" s="211"/>
      <c r="B21" s="211"/>
      <c r="C21" s="104"/>
      <c r="D21" s="2018"/>
      <c r="E21" s="2175"/>
      <c r="F21" s="2017"/>
      <c r="G21" s="355"/>
      <c r="H21" s="105"/>
      <c r="I21" s="1771" t="s">
        <v>121</v>
      </c>
      <c r="J21" s="105"/>
      <c r="K21" s="105"/>
      <c r="L21" s="105"/>
      <c r="M21" s="1772"/>
      <c r="N21" s="1768"/>
      <c r="O21" s="1768"/>
      <c r="P21" s="1768"/>
      <c r="Q21" s="1768"/>
      <c r="R21" s="1768"/>
      <c r="S21" s="1768"/>
      <c r="T21" s="1768"/>
      <c r="U21" s="1769"/>
      <c r="V21" s="1768"/>
      <c r="W21" s="1768"/>
      <c r="X21" s="520"/>
      <c r="Y21" s="520"/>
      <c r="Z21" s="520"/>
      <c r="AA21" s="520"/>
      <c r="AB21" s="520"/>
      <c r="AC21" s="520"/>
      <c r="AD21" s="520"/>
      <c r="AE21" s="520"/>
      <c r="AF21" s="520"/>
      <c r="AG21" s="520"/>
      <c r="AH21" s="520"/>
      <c r="AI21" s="520"/>
      <c r="AJ21" s="520"/>
      <c r="AK21" s="520"/>
      <c r="AL21" s="520"/>
    </row>
    <row r="22" spans="1:38" s="1969" customFormat="1" ht="15" customHeight="1">
      <c r="U22" s="1766"/>
    </row>
    <row r="23" spans="1:38" s="1969" customFormat="1" ht="15" customHeight="1">
      <c r="A23" s="21" t="s">
        <v>1399</v>
      </c>
      <c r="B23" s="21"/>
      <c r="C23" s="21"/>
      <c r="D23" s="21"/>
      <c r="E23" s="21"/>
      <c r="F23" s="21"/>
      <c r="G23" s="21"/>
      <c r="H23" s="21"/>
      <c r="I23" s="21"/>
      <c r="J23" s="21"/>
      <c r="K23" s="21"/>
      <c r="L23" s="21"/>
      <c r="M23" s="21"/>
      <c r="N23" s="21"/>
      <c r="O23" s="21"/>
      <c r="P23" s="21"/>
      <c r="Q23" s="21"/>
      <c r="R23" s="21"/>
      <c r="S23" s="21"/>
      <c r="T23" s="21"/>
      <c r="U23" s="1765"/>
      <c r="V23" s="21"/>
      <c r="W23" s="21"/>
    </row>
    <row r="24" spans="1:38" s="1969" customFormat="1" ht="15" customHeight="1">
      <c r="U24" s="1766"/>
    </row>
    <row r="25" spans="1:38" s="1933" customFormat="1" ht="15" customHeight="1">
      <c r="A25" s="211"/>
      <c r="B25" s="211"/>
      <c r="C25" s="104"/>
      <c r="D25" s="1773"/>
      <c r="E25" s="1773"/>
      <c r="F25" s="1773"/>
      <c r="G25" s="2180" t="s">
        <v>1110</v>
      </c>
      <c r="H25" s="1988">
        <v>1</v>
      </c>
      <c r="I25" s="2181" t="str">
        <f>IF(U25="","",INDEX(TERRITORY_MR_LIST,MATCH(U25,TERRITORY_LIST_ID,0)))</f>
        <v/>
      </c>
      <c r="J25" s="2017" t="s">
        <v>55</v>
      </c>
      <c r="K25" s="737"/>
      <c r="L25" s="710" t="s">
        <v>108</v>
      </c>
      <c r="M25" s="1767"/>
      <c r="N25" s="1768"/>
      <c r="O25" s="1768"/>
      <c r="P25" s="1768"/>
      <c r="Q25" s="1768"/>
      <c r="R25" s="1768"/>
      <c r="S25" s="1768"/>
      <c r="T25" s="1768"/>
      <c r="U25" s="1769"/>
      <c r="V25" s="1768"/>
      <c r="W25" s="1768"/>
      <c r="X25" s="520"/>
      <c r="Y25" s="520" t="s">
        <v>119</v>
      </c>
      <c r="Z25" s="520">
        <v>1705000</v>
      </c>
      <c r="AA25" s="520"/>
      <c r="AB25" s="520"/>
      <c r="AC25" s="520"/>
      <c r="AD25" s="520"/>
      <c r="AE25" s="520"/>
      <c r="AF25" s="520"/>
      <c r="AG25" s="520"/>
      <c r="AH25" s="520"/>
      <c r="AI25" s="520"/>
      <c r="AJ25" s="520"/>
      <c r="AK25" s="520"/>
      <c r="AL25" s="520"/>
    </row>
    <row r="26" spans="1:38" s="1933" customFormat="1" ht="15" customHeight="1">
      <c r="A26" s="211"/>
      <c r="B26" s="211"/>
      <c r="C26" s="104"/>
      <c r="D26" s="1773"/>
      <c r="E26" s="1773"/>
      <c r="F26" s="1773"/>
      <c r="G26" s="2180"/>
      <c r="H26" s="1988"/>
      <c r="I26" s="2181"/>
      <c r="J26" s="2017"/>
      <c r="K26" s="355"/>
      <c r="L26" s="105"/>
      <c r="M26" s="528" t="s">
        <v>120</v>
      </c>
      <c r="N26" s="1768"/>
      <c r="O26" s="1768"/>
      <c r="P26" s="1768"/>
      <c r="Q26" s="1768"/>
      <c r="R26" s="1768"/>
      <c r="S26" s="1768"/>
      <c r="T26" s="1768"/>
      <c r="U26" s="1769"/>
      <c r="V26" s="1768"/>
      <c r="W26" s="1768"/>
      <c r="X26" s="520"/>
      <c r="Y26" s="520"/>
      <c r="Z26" s="520"/>
      <c r="AA26" s="520"/>
      <c r="AB26" s="520"/>
      <c r="AC26" s="520"/>
      <c r="AD26" s="520"/>
      <c r="AE26" s="520"/>
      <c r="AF26" s="520"/>
      <c r="AG26" s="520"/>
      <c r="AH26" s="520"/>
      <c r="AI26" s="520"/>
      <c r="AJ26" s="520"/>
      <c r="AK26" s="520"/>
      <c r="AL26" s="520"/>
    </row>
    <row r="27" spans="1:38" s="1969" customFormat="1" ht="15" customHeight="1">
      <c r="U27" s="1766"/>
    </row>
    <row r="28" spans="1:38" s="1969" customFormat="1" ht="15" customHeight="1">
      <c r="A28" s="21" t="s">
        <v>1400</v>
      </c>
      <c r="B28" s="21"/>
      <c r="C28" s="21"/>
      <c r="D28" s="21"/>
      <c r="E28" s="21"/>
      <c r="F28" s="21"/>
      <c r="G28" s="21"/>
      <c r="H28" s="21"/>
      <c r="I28" s="21"/>
      <c r="J28" s="21"/>
      <c r="K28" s="21"/>
      <c r="L28" s="21"/>
      <c r="M28" s="21"/>
      <c r="N28" s="21"/>
      <c r="O28" s="21"/>
      <c r="P28" s="21"/>
      <c r="Q28" s="21"/>
      <c r="R28" s="21"/>
      <c r="S28" s="21"/>
      <c r="T28" s="21"/>
      <c r="U28" s="1765"/>
      <c r="V28" s="21"/>
      <c r="W28" s="21"/>
    </row>
    <row r="29" spans="1:38" s="1969" customFormat="1" ht="15" customHeight="1">
      <c r="U29" s="1766"/>
    </row>
    <row r="30" spans="1:38" s="1933" customFormat="1" ht="15" customHeight="1">
      <c r="A30" s="211"/>
      <c r="B30" s="211"/>
      <c r="C30" s="104"/>
      <c r="D30" s="1773"/>
      <c r="E30" s="1773"/>
      <c r="F30" s="1773"/>
      <c r="G30" s="1773"/>
      <c r="H30" s="1773"/>
      <c r="I30" s="1773"/>
      <c r="J30" s="1773"/>
      <c r="K30" s="1586" t="s">
        <v>1110</v>
      </c>
      <c r="L30" s="1585" t="s">
        <v>108</v>
      </c>
      <c r="M30" s="1774"/>
      <c r="N30" s="1775"/>
      <c r="O30" s="1768"/>
      <c r="P30" s="1768"/>
      <c r="Q30" s="1768"/>
      <c r="R30" s="1768"/>
      <c r="S30" s="1768"/>
      <c r="T30" s="1768"/>
      <c r="U30" s="1769"/>
      <c r="V30" s="1768"/>
      <c r="W30" s="1768"/>
      <c r="X30" s="520"/>
      <c r="Y30" s="520" t="s">
        <v>119</v>
      </c>
      <c r="Z30" s="520">
        <v>1705000</v>
      </c>
      <c r="AA30" s="520"/>
      <c r="AB30" s="520"/>
      <c r="AC30" s="520"/>
      <c r="AD30" s="520"/>
      <c r="AE30" s="520"/>
      <c r="AF30" s="520"/>
      <c r="AG30" s="520"/>
      <c r="AH30" s="520"/>
      <c r="AI30" s="520"/>
      <c r="AJ30" s="520"/>
      <c r="AK30" s="520"/>
      <c r="AL30" s="520"/>
    </row>
    <row r="31" spans="1:38" s="1969" customFormat="1" ht="15" customHeight="1">
      <c r="U31" s="1766"/>
    </row>
    <row r="32" spans="1:38" s="1969" customFormat="1" ht="15" customHeight="1">
      <c r="U32" s="1766"/>
    </row>
    <row r="33" spans="1:45" s="1737" customFormat="1" ht="11.25" customHeight="1">
      <c r="A33" s="21" t="s">
        <v>1401</v>
      </c>
    </row>
    <row r="34" spans="1:45" s="1969" customFormat="1" ht="11.25" customHeight="1"/>
    <row r="35" spans="1:45" s="1646" customFormat="1" ht="22.5" customHeight="1">
      <c r="A35" s="1776"/>
      <c r="B35" s="1777"/>
      <c r="C35" s="760"/>
      <c r="D35" s="374"/>
      <c r="E35" s="1778"/>
      <c r="F35" s="1779"/>
      <c r="G35" s="726"/>
      <c r="H35" s="1780"/>
    </row>
    <row r="36" spans="1:45" s="1969" customFormat="1" ht="11.25" customHeight="1"/>
    <row r="37" spans="1:45" s="1737" customFormat="1" ht="11.25" customHeight="1">
      <c r="A37" s="21" t="s">
        <v>1402</v>
      </c>
    </row>
    <row r="38" spans="1:45" s="1969" customFormat="1" ht="11.25" customHeight="1"/>
    <row r="39" spans="1:45" s="1646" customFormat="1" ht="22.5" customHeight="1">
      <c r="A39" s="1777"/>
      <c r="B39" s="1777"/>
      <c r="C39" s="387"/>
      <c r="D39" s="374"/>
      <c r="E39" s="1778"/>
      <c r="F39" s="1781"/>
      <c r="G39" s="726"/>
      <c r="H39" s="1780"/>
    </row>
    <row r="40" spans="1:45" s="1969" customFormat="1" ht="17.25" customHeight="1"/>
    <row r="41" spans="1:45" s="1969" customFormat="1" ht="17.25" customHeight="1"/>
    <row r="42" spans="1:45" s="1737" customFormat="1" ht="17.25" customHeight="1">
      <c r="A42" s="21" t="s">
        <v>1403</v>
      </c>
    </row>
    <row r="43" spans="1:45" s="1969" customFormat="1" ht="17.25" customHeight="1"/>
    <row r="44" spans="1:45" s="1650" customFormat="1" ht="18.75" customHeight="1">
      <c r="A44" s="300"/>
      <c r="B44" s="432"/>
      <c r="C44" s="432"/>
      <c r="D44" s="1782"/>
      <c r="E44" s="1783"/>
      <c r="F44" s="1784">
        <v>13</v>
      </c>
      <c r="G44" s="1785"/>
      <c r="H44" s="699"/>
      <c r="I44" s="697"/>
      <c r="J44" s="1786" t="s">
        <v>62</v>
      </c>
      <c r="K44" s="1035" t="s">
        <v>17</v>
      </c>
      <c r="L44" s="300"/>
      <c r="M44" s="439"/>
      <c r="N44" s="439"/>
      <c r="O44" s="439"/>
      <c r="P44" s="1787" t="s">
        <v>386</v>
      </c>
      <c r="Q44" s="444" t="s">
        <v>387</v>
      </c>
      <c r="R44" s="1788" t="s">
        <v>388</v>
      </c>
      <c r="S44" s="439" t="s">
        <v>389</v>
      </c>
      <c r="T44" s="439"/>
      <c r="U44" s="439"/>
      <c r="V44" s="439"/>
    </row>
    <row r="45" spans="1:45" s="1969" customFormat="1" ht="17.25" customHeight="1"/>
    <row r="46" spans="1:45" s="1737" customFormat="1" ht="11.25" customHeight="1">
      <c r="A46" s="21" t="s">
        <v>1404</v>
      </c>
    </row>
    <row r="47" spans="1:45" s="1969" customFormat="1" ht="17.25" customHeight="1"/>
    <row r="48" spans="1:45" s="1829" customFormat="1" ht="14.25" customHeight="1">
      <c r="C48" s="727"/>
      <c r="D48" s="1789"/>
      <c r="E48" s="1790"/>
      <c r="F48" s="1791"/>
      <c r="G48" s="757"/>
      <c r="H48" s="1792"/>
      <c r="I48" s="1792"/>
      <c r="J48" s="1792"/>
      <c r="K48" s="1793"/>
      <c r="L48" s="1794"/>
      <c r="M48" s="1793"/>
      <c r="N48" s="1792"/>
      <c r="O48" s="1793"/>
      <c r="P48" s="1792"/>
      <c r="Q48" s="1793"/>
      <c r="R48" s="1792"/>
      <c r="S48" s="1795"/>
      <c r="T48" s="1792"/>
      <c r="U48" s="1792"/>
      <c r="V48" s="1792"/>
      <c r="W48" s="1796"/>
      <c r="X48" s="1792"/>
      <c r="Y48" s="367"/>
      <c r="Z48" s="367"/>
      <c r="AA48" s="732"/>
      <c r="AB48" s="1792"/>
      <c r="AC48" s="367"/>
      <c r="AD48" s="1796"/>
      <c r="AE48" s="300"/>
      <c r="AF48" s="300"/>
      <c r="AG48" s="300"/>
      <c r="AH48" s="300"/>
      <c r="AJ48" s="439"/>
      <c r="AK48" s="439"/>
      <c r="AL48" s="439"/>
      <c r="AM48" s="439"/>
      <c r="AN48" s="439"/>
      <c r="AO48" s="439"/>
      <c r="AP48" s="428" t="s">
        <v>375</v>
      </c>
      <c r="AQ48" s="428" t="s">
        <v>375</v>
      </c>
      <c r="AR48" s="439"/>
      <c r="AS48" s="439"/>
    </row>
    <row r="49" spans="1:30" s="1969" customFormat="1" ht="17.25" customHeight="1"/>
    <row r="50" spans="1:30" s="1737" customFormat="1" ht="11.25" customHeight="1">
      <c r="A50" s="21" t="s">
        <v>1405</v>
      </c>
    </row>
    <row r="51" spans="1:30" s="1969" customFormat="1" ht="17.25" customHeight="1"/>
    <row r="52" spans="1:30" s="1797" customFormat="1" ht="14.25" customHeight="1">
      <c r="A52" s="74" t="s">
        <v>89</v>
      </c>
      <c r="B52" s="1797" t="s">
        <v>17</v>
      </c>
      <c r="C52" s="57"/>
      <c r="D52" s="1798"/>
      <c r="E52" s="313"/>
      <c r="F52" s="313"/>
      <c r="G52" s="1799"/>
      <c r="H52" s="314"/>
      <c r="I52" s="1800"/>
      <c r="K52" s="1801"/>
      <c r="L52" s="191"/>
    </row>
    <row r="53" spans="1:30" s="1969" customFormat="1" ht="17.25" customHeight="1"/>
    <row r="54" spans="1:30" s="1737" customFormat="1" ht="11.25" customHeight="1">
      <c r="A54" s="21" t="s">
        <v>1406</v>
      </c>
    </row>
    <row r="55" spans="1:30" s="1969" customFormat="1" ht="17.25" customHeight="1"/>
    <row r="56" spans="1:30" s="1829" customFormat="1" ht="14.25" customHeight="1">
      <c r="A56" s="267"/>
      <c r="B56" s="352"/>
      <c r="C56" s="304"/>
      <c r="D56" s="1802"/>
      <c r="E56" s="1803"/>
      <c r="F56" s="314"/>
      <c r="G56" s="300"/>
      <c r="I56" s="428"/>
      <c r="J56" s="428"/>
    </row>
    <row r="57" spans="1:30" s="1969" customFormat="1" ht="17.25" customHeight="1"/>
    <row r="58" spans="1:30" s="1737" customFormat="1" ht="11.25" customHeight="1">
      <c r="A58" s="21" t="s">
        <v>1407</v>
      </c>
    </row>
    <row r="59" spans="1:30" s="1969" customFormat="1" ht="17.25" customHeight="1"/>
    <row r="60" spans="1:30" s="1829" customFormat="1" ht="27" customHeight="1">
      <c r="A60" s="1804"/>
      <c r="B60" s="1804"/>
      <c r="C60" s="1040"/>
      <c r="D60" s="1034"/>
      <c r="E60" s="1805"/>
      <c r="F60" s="2134"/>
      <c r="G60" s="2135"/>
      <c r="H60" s="2136" t="s">
        <v>62</v>
      </c>
      <c r="I60" s="2138"/>
      <c r="J60" s="2140"/>
      <c r="K60" s="2142"/>
      <c r="L60" s="2145"/>
      <c r="M60" s="2145"/>
      <c r="N60" s="2184"/>
      <c r="O60" s="2184"/>
      <c r="P60" s="2185" t="e">
        <f>DATEDIF(DATEVALUE(N60),DATEVALUE(O60),"y")&amp;"г. "&amp;DATEDIF(DATEVALUE(N60),DATEVALUE(O60),"ym")&amp;"мес. "&amp;DATEVALUE(O60)-DATE(YEAR(DATEVALUE(O60)),MONTH(DATEVALUE(O60)),1)&amp;"дн. "</f>
        <v>#VALUE!</v>
      </c>
      <c r="Q60" s="2147"/>
      <c r="R60" s="2147"/>
      <c r="S60" s="2147"/>
      <c r="T60" s="2140"/>
      <c r="U60" s="2147"/>
      <c r="V60" s="2147"/>
      <c r="W60" s="2147"/>
      <c r="X60" s="2140"/>
      <c r="Y60" s="2182" t="s">
        <v>62</v>
      </c>
      <c r="Z60" s="1059"/>
      <c r="AA60" s="1060">
        <v>1</v>
      </c>
      <c r="AB60" s="1806"/>
      <c r="AD60" s="439" t="s">
        <v>1408</v>
      </c>
    </row>
    <row r="61" spans="1:30" s="1829" customFormat="1" ht="10.5" customHeight="1">
      <c r="A61" s="1804"/>
      <c r="B61" s="1804"/>
      <c r="C61" s="1040"/>
      <c r="D61" s="1034"/>
      <c r="E61" s="1807"/>
      <c r="F61" s="2134"/>
      <c r="G61" s="2135"/>
      <c r="H61" s="2137"/>
      <c r="I61" s="2139"/>
      <c r="J61" s="2141"/>
      <c r="K61" s="2142"/>
      <c r="L61" s="2145"/>
      <c r="M61" s="2145"/>
      <c r="N61" s="2184"/>
      <c r="O61" s="2184"/>
      <c r="P61" s="2185"/>
      <c r="Q61" s="2147"/>
      <c r="R61" s="2147"/>
      <c r="S61" s="2147"/>
      <c r="T61" s="2141"/>
      <c r="U61" s="2147"/>
      <c r="V61" s="2147"/>
      <c r="W61" s="2147"/>
      <c r="X61" s="2141"/>
      <c r="Y61" s="2183"/>
      <c r="Z61" s="271"/>
      <c r="AA61" s="499"/>
      <c r="AB61" s="1808" t="s">
        <v>1409</v>
      </c>
    </row>
    <row r="62" spans="1:30" s="1969" customFormat="1" ht="17.25" customHeight="1"/>
    <row r="63" spans="1:30" s="1737" customFormat="1" ht="11.25" customHeight="1">
      <c r="A63" s="21" t="s">
        <v>1410</v>
      </c>
    </row>
    <row r="64" spans="1:30" s="1969" customFormat="1" ht="17.25" customHeight="1"/>
    <row r="65" spans="1:58" s="1829" customFormat="1" ht="27" customHeight="1">
      <c r="A65" s="1040"/>
      <c r="B65" s="1040"/>
      <c r="C65" s="1040"/>
      <c r="D65" s="1034"/>
      <c r="E65" s="1599"/>
      <c r="F65" s="1809"/>
      <c r="G65" s="1810"/>
      <c r="H65" s="1811"/>
      <c r="I65" s="1812"/>
      <c r="J65" s="1813"/>
      <c r="K65" s="1814"/>
      <c r="L65" s="1815"/>
      <c r="M65" s="1815"/>
      <c r="N65" s="1816"/>
      <c r="O65" s="1816"/>
      <c r="P65" s="1817"/>
      <c r="Q65" s="1818"/>
      <c r="R65" s="1818"/>
      <c r="S65" s="1818"/>
      <c r="T65" s="1813"/>
      <c r="U65" s="1818"/>
      <c r="V65" s="1818"/>
      <c r="W65" s="1818"/>
      <c r="X65" s="1813"/>
      <c r="Y65" s="1618"/>
      <c r="Z65" s="1598"/>
      <c r="AA65" s="1597">
        <v>1</v>
      </c>
      <c r="AB65" s="1113"/>
      <c r="AD65" s="1495" t="s">
        <v>1408</v>
      </c>
    </row>
    <row r="66" spans="1:58" s="1969" customFormat="1" ht="17.25" customHeight="1"/>
    <row r="67" spans="1:58" s="1737" customFormat="1" ht="11.25" customHeight="1">
      <c r="A67" s="21" t="s">
        <v>1411</v>
      </c>
    </row>
    <row r="68" spans="1:58" s="1969" customFormat="1" ht="17.25" customHeight="1"/>
    <row r="69" spans="1:58" s="1829" customFormat="1" ht="21" customHeight="1">
      <c r="A69" s="1819"/>
      <c r="B69" s="1804"/>
      <c r="C69" s="1040"/>
      <c r="D69" s="1034"/>
      <c r="E69" s="1044"/>
      <c r="F69" s="1820" t="e">
        <f>INDEX(IP_MAIN_LIST_NAME_IP,MATCH(A69,IP_MAIN_LIST_IP_ID,0))&amp;" ("&amp;INDEX(IP_MAIN_START_DATE,MATCH(A69,IP_MAIN_LIST_IP_ID,0))&amp;"-"&amp;INDEX(IP_MAIN_END_DATE,MATCH(A69,IP_MAIN_LIST_IP_ID,0))&amp;")"</f>
        <v>#N/A</v>
      </c>
      <c r="G69" s="1821"/>
      <c r="H69" s="1821"/>
      <c r="I69" s="1822"/>
      <c r="J69" s="1822"/>
      <c r="K69" s="1823"/>
      <c r="L69" s="1823"/>
      <c r="M69" s="1823"/>
      <c r="N69" s="1824"/>
      <c r="O69" s="1824"/>
      <c r="P69" s="1824"/>
      <c r="Q69" s="1824"/>
      <c r="R69" s="1824"/>
      <c r="S69" s="1824"/>
      <c r="T69" s="1824"/>
      <c r="U69" s="1824"/>
      <c r="V69" s="1824"/>
      <c r="W69" s="1824"/>
      <c r="X69" s="1824"/>
      <c r="Y69" s="1056"/>
      <c r="Z69" s="1056"/>
      <c r="AA69" s="1056"/>
      <c r="AB69" s="1824"/>
      <c r="AC69" s="1056"/>
      <c r="AD69" s="1824"/>
      <c r="AE69" s="1825"/>
      <c r="AF69" s="1823"/>
      <c r="AG69" s="1823"/>
      <c r="AH69" s="1823"/>
      <c r="AI69" s="1823"/>
      <c r="AJ69" s="1823"/>
      <c r="AK69" s="1823"/>
      <c r="AL69" s="1826"/>
      <c r="AM69" s="1031"/>
      <c r="AN69" s="1031"/>
      <c r="AO69" s="1031"/>
      <c r="AP69" s="1031"/>
      <c r="AQ69" s="1031"/>
      <c r="AR69" s="1031"/>
      <c r="AS69" s="1031"/>
      <c r="AT69" s="1031"/>
      <c r="AU69" s="1031"/>
      <c r="AV69" s="1031"/>
      <c r="AW69" s="1031"/>
      <c r="AX69" s="1031"/>
      <c r="AY69" s="1031"/>
      <c r="AZ69" s="1031"/>
      <c r="BA69" s="1031"/>
      <c r="BB69" s="1031"/>
      <c r="BC69" s="1031"/>
      <c r="BD69" s="1031"/>
      <c r="BE69" s="1031"/>
      <c r="BF69" s="1031"/>
    </row>
    <row r="70" spans="1:58" s="1829" customFormat="1" ht="11.25" customHeight="1">
      <c r="A70" s="1804"/>
      <c r="B70" s="1804"/>
      <c r="C70" s="1040"/>
      <c r="D70" s="1034"/>
      <c r="E70" s="1044"/>
      <c r="F70" s="2188"/>
      <c r="G70" s="2146"/>
      <c r="H70" s="2146" t="s">
        <v>108</v>
      </c>
      <c r="I70" s="2192"/>
      <c r="J70" s="2193"/>
      <c r="K70" s="2194"/>
      <c r="L70" s="2186" t="s">
        <v>55</v>
      </c>
      <c r="M70" s="2018"/>
      <c r="N70" s="1827"/>
      <c r="O70" s="1828" t="s">
        <v>370</v>
      </c>
      <c r="P70" s="1827"/>
      <c r="Q70" s="1827"/>
      <c r="R70" s="1827"/>
      <c r="S70" s="1827"/>
      <c r="T70" s="1827"/>
      <c r="U70" s="1827"/>
      <c r="V70" s="1827"/>
      <c r="W70" s="1827"/>
      <c r="X70" s="1827"/>
      <c r="Y70" s="1051"/>
      <c r="Z70" s="1051"/>
      <c r="AA70" s="1051"/>
      <c r="AB70" s="1827"/>
      <c r="AC70" s="1051"/>
      <c r="AD70" s="1827"/>
      <c r="AE70" s="1827"/>
      <c r="AF70" s="2190"/>
      <c r="AG70" s="2186"/>
      <c r="AH70" s="2186"/>
      <c r="AI70" s="2190"/>
      <c r="AJ70" s="2186"/>
      <c r="AK70" s="2186"/>
      <c r="AM70" s="1031"/>
      <c r="AN70" s="1031"/>
      <c r="AO70" s="1031"/>
      <c r="AP70" s="1031"/>
      <c r="AQ70" s="1031"/>
      <c r="AR70" s="1031"/>
      <c r="AS70" s="1031"/>
      <c r="AT70" s="1031"/>
      <c r="AU70" s="1031"/>
      <c r="AV70" s="1031"/>
      <c r="AW70" s="1031"/>
      <c r="AX70" s="1031"/>
      <c r="AY70" s="1031"/>
      <c r="AZ70" s="1031"/>
      <c r="BA70" s="1031"/>
      <c r="BB70" s="1031"/>
      <c r="BC70" s="1031"/>
      <c r="BD70" s="1031"/>
      <c r="BE70" s="1031"/>
      <c r="BF70" s="1031"/>
    </row>
    <row r="71" spans="1:58" s="1829" customFormat="1" ht="11.25" customHeight="1">
      <c r="A71" s="1804"/>
      <c r="B71" s="1804"/>
      <c r="C71" s="1040"/>
      <c r="D71" s="1034"/>
      <c r="E71" s="1044"/>
      <c r="F71" s="2188"/>
      <c r="G71" s="2146"/>
      <c r="H71" s="2146"/>
      <c r="I71" s="2192"/>
      <c r="J71" s="2193"/>
      <c r="K71" s="2194"/>
      <c r="L71" s="2186"/>
      <c r="M71" s="2018"/>
      <c r="N71" s="2195"/>
      <c r="O71" s="2161">
        <v>1</v>
      </c>
      <c r="P71" s="2156" t="s">
        <v>55</v>
      </c>
      <c r="Q71" s="2159" t="s">
        <v>17</v>
      </c>
      <c r="R71" s="2159" t="s">
        <v>17</v>
      </c>
      <c r="S71" s="2159" t="s">
        <v>17</v>
      </c>
      <c r="T71" s="2159" t="s">
        <v>17</v>
      </c>
      <c r="U71" s="2159" t="s">
        <v>17</v>
      </c>
      <c r="V71" s="2159" t="s">
        <v>17</v>
      </c>
      <c r="W71" s="2159" t="s">
        <v>17</v>
      </c>
      <c r="X71" s="2159" t="s">
        <v>17</v>
      </c>
      <c r="Y71" s="2159"/>
      <c r="Z71" s="1048"/>
      <c r="AA71" s="1049"/>
      <c r="AB71" s="1830"/>
      <c r="AC71" s="1658"/>
      <c r="AD71" s="1831"/>
      <c r="AE71" s="1832"/>
      <c r="AF71" s="2190"/>
      <c r="AG71" s="2186"/>
      <c r="AH71" s="2186"/>
      <c r="AI71" s="2190"/>
      <c r="AJ71" s="2186"/>
      <c r="AK71" s="2186"/>
      <c r="AM71" s="1031"/>
      <c r="AN71" s="1031"/>
      <c r="AO71" s="1031"/>
      <c r="AP71" s="1031"/>
      <c r="AQ71" s="1031"/>
      <c r="AR71" s="1031"/>
      <c r="AS71" s="1031"/>
      <c r="AT71" s="1031"/>
      <c r="AU71" s="1031"/>
      <c r="AV71" s="1031"/>
      <c r="AW71" s="1031"/>
      <c r="AX71" s="1031"/>
      <c r="AY71" s="1031"/>
      <c r="AZ71" s="1031"/>
      <c r="BA71" s="1031"/>
      <c r="BB71" s="1031"/>
      <c r="BC71" s="1031"/>
      <c r="BD71" s="1031"/>
      <c r="BE71" s="1031"/>
      <c r="BF71" s="1031"/>
    </row>
    <row r="72" spans="1:58" s="1829" customFormat="1" ht="11.25" customHeight="1">
      <c r="A72" s="1804"/>
      <c r="B72" s="1804"/>
      <c r="C72" s="1040"/>
      <c r="D72" s="1034"/>
      <c r="E72" s="1044"/>
      <c r="F72" s="2188"/>
      <c r="G72" s="2146"/>
      <c r="H72" s="2146"/>
      <c r="I72" s="2192"/>
      <c r="J72" s="2193"/>
      <c r="K72" s="2194"/>
      <c r="L72" s="2186"/>
      <c r="M72" s="2018"/>
      <c r="N72" s="2195"/>
      <c r="O72" s="2161"/>
      <c r="P72" s="2157"/>
      <c r="Q72" s="2159"/>
      <c r="R72" s="2159"/>
      <c r="S72" s="2191"/>
      <c r="T72" s="2159"/>
      <c r="U72" s="2159"/>
      <c r="V72" s="2159"/>
      <c r="W72" s="2159"/>
      <c r="X72" s="2159"/>
      <c r="Y72" s="2159"/>
      <c r="Z72" s="1052"/>
      <c r="AA72" s="1053">
        <v>1</v>
      </c>
      <c r="AB72" s="1833"/>
      <c r="AC72" s="1043"/>
      <c r="AD72" s="1660">
        <f>AB72</f>
        <v>0</v>
      </c>
      <c r="AE72" s="1834"/>
      <c r="AF72" s="2190"/>
      <c r="AG72" s="2186"/>
      <c r="AH72" s="2186"/>
      <c r="AI72" s="2190"/>
      <c r="AJ72" s="2186"/>
      <c r="AK72" s="2186"/>
      <c r="AM72" s="1031"/>
      <c r="AN72" s="1031"/>
      <c r="AO72" s="1031"/>
      <c r="AP72" s="1031"/>
      <c r="AQ72" s="1031"/>
      <c r="AR72" s="1031"/>
      <c r="AS72" s="1031"/>
      <c r="AT72" s="1031"/>
      <c r="AU72" s="1031"/>
      <c r="AV72" s="1031"/>
      <c r="AW72" s="1031"/>
      <c r="AX72" s="1031"/>
      <c r="AY72" s="1031"/>
      <c r="AZ72" s="1031"/>
      <c r="BA72" s="1031"/>
      <c r="BB72" s="1031"/>
      <c r="BC72" s="1031"/>
      <c r="BD72" s="1031"/>
      <c r="BE72" s="1031"/>
      <c r="BF72" s="1031"/>
    </row>
    <row r="73" spans="1:58" s="1829" customFormat="1" ht="11.25" customHeight="1">
      <c r="A73" s="1804"/>
      <c r="B73" s="1804"/>
      <c r="C73" s="1040"/>
      <c r="D73" s="1034"/>
      <c r="E73" s="1044"/>
      <c r="F73" s="2188"/>
      <c r="G73" s="2146"/>
      <c r="H73" s="2146"/>
      <c r="I73" s="2192"/>
      <c r="J73" s="2193"/>
      <c r="K73" s="2194"/>
      <c r="L73" s="2186"/>
      <c r="M73" s="2018"/>
      <c r="N73" s="2195"/>
      <c r="O73" s="2161"/>
      <c r="P73" s="2158"/>
      <c r="Q73" s="2159"/>
      <c r="R73" s="2159"/>
      <c r="S73" s="2191"/>
      <c r="T73" s="2159"/>
      <c r="U73" s="2159"/>
      <c r="V73" s="2159"/>
      <c r="W73" s="2159"/>
      <c r="X73" s="2159"/>
      <c r="Y73" s="2159"/>
      <c r="Z73" s="1048"/>
      <c r="AA73" s="1049"/>
      <c r="AB73" s="1835" t="s">
        <v>1412</v>
      </c>
      <c r="AC73" s="1658"/>
      <c r="AD73" s="1831"/>
      <c r="AE73" s="1836"/>
      <c r="AF73" s="2190"/>
      <c r="AG73" s="2186"/>
      <c r="AH73" s="2186"/>
      <c r="AI73" s="2190"/>
      <c r="AJ73" s="2186"/>
      <c r="AK73" s="2186"/>
      <c r="AM73" s="1031"/>
      <c r="AN73" s="1031"/>
      <c r="AO73" s="1031"/>
      <c r="AP73" s="1031"/>
      <c r="AQ73" s="1031"/>
      <c r="AR73" s="1031"/>
      <c r="AS73" s="1031"/>
      <c r="AT73" s="1031"/>
      <c r="AU73" s="1031"/>
      <c r="AV73" s="1031"/>
      <c r="AW73" s="1031"/>
      <c r="AX73" s="1031"/>
      <c r="AY73" s="1031"/>
      <c r="AZ73" s="1031"/>
      <c r="BA73" s="1031"/>
      <c r="BB73" s="1031"/>
      <c r="BC73" s="1031"/>
      <c r="BD73" s="1031"/>
      <c r="BE73" s="1031"/>
      <c r="BF73" s="1031"/>
    </row>
    <row r="74" spans="1:58" s="1829" customFormat="1" ht="11.25" customHeight="1">
      <c r="A74" s="1804"/>
      <c r="B74" s="1804"/>
      <c r="C74" s="1040"/>
      <c r="D74" s="1034"/>
      <c r="E74" s="1044"/>
      <c r="F74" s="2188"/>
      <c r="G74" s="2146"/>
      <c r="H74" s="2146"/>
      <c r="I74" s="2192"/>
      <c r="J74" s="2193"/>
      <c r="K74" s="2194"/>
      <c r="L74" s="2186"/>
      <c r="M74" s="2018"/>
      <c r="N74" s="1830"/>
      <c r="O74" s="1830"/>
      <c r="P74" s="1837" t="s">
        <v>1413</v>
      </c>
      <c r="Q74" s="1830"/>
      <c r="R74" s="1830"/>
      <c r="S74" s="1830"/>
      <c r="T74" s="1830"/>
      <c r="U74" s="1830"/>
      <c r="V74" s="1830"/>
      <c r="W74" s="1830"/>
      <c r="X74" s="1830"/>
      <c r="Y74" s="1049"/>
      <c r="Z74" s="1049"/>
      <c r="AA74" s="1049"/>
      <c r="AB74" s="1830"/>
      <c r="AC74" s="1049"/>
      <c r="AD74" s="1830"/>
      <c r="AE74" s="1838"/>
      <c r="AF74" s="2190"/>
      <c r="AG74" s="2186"/>
      <c r="AH74" s="2186"/>
      <c r="AI74" s="2190"/>
      <c r="AJ74" s="2186"/>
      <c r="AK74" s="2186"/>
      <c r="AM74" s="1031"/>
      <c r="AN74" s="1031"/>
      <c r="AO74" s="1031"/>
      <c r="AP74" s="1031"/>
      <c r="AQ74" s="1031"/>
      <c r="AR74" s="1031"/>
      <c r="AS74" s="1031"/>
      <c r="AT74" s="1031"/>
      <c r="AU74" s="1031"/>
      <c r="AV74" s="1031"/>
      <c r="AW74" s="1031"/>
      <c r="AX74" s="1031"/>
      <c r="AY74" s="1031"/>
      <c r="AZ74" s="1031"/>
      <c r="BA74" s="1031"/>
      <c r="BB74" s="1031"/>
      <c r="BC74" s="1031"/>
      <c r="BD74" s="1031"/>
      <c r="BE74" s="1031"/>
      <c r="BF74" s="1031"/>
    </row>
    <row r="75" spans="1:58" s="1829" customFormat="1" ht="12" customHeight="1">
      <c r="A75" s="1804"/>
      <c r="B75" s="1804"/>
      <c r="C75" s="1040"/>
      <c r="D75" s="1034"/>
      <c r="E75" s="1044"/>
      <c r="F75" s="2189"/>
      <c r="G75" s="1839"/>
      <c r="H75" s="1839"/>
      <c r="I75" s="2187" t="s">
        <v>1414</v>
      </c>
      <c r="J75" s="2187"/>
      <c r="K75" s="2187"/>
      <c r="L75" s="1840"/>
      <c r="M75" s="1840"/>
      <c r="N75" s="1841"/>
      <c r="O75" s="1841"/>
      <c r="P75" s="1841"/>
      <c r="Q75" s="1841"/>
      <c r="R75" s="1841"/>
      <c r="S75" s="1841"/>
      <c r="T75" s="1841"/>
      <c r="U75" s="1841"/>
      <c r="V75" s="1841"/>
      <c r="W75" s="1841"/>
      <c r="X75" s="1841"/>
      <c r="Y75" s="1047"/>
      <c r="Z75" s="1047"/>
      <c r="AA75" s="1047"/>
      <c r="AB75" s="1841"/>
      <c r="AC75" s="1047"/>
      <c r="AD75" s="1841"/>
      <c r="AE75" s="1841"/>
      <c r="AF75" s="1841"/>
      <c r="AG75" s="1840"/>
      <c r="AH75" s="1840"/>
      <c r="AI75" s="1841"/>
      <c r="AJ75" s="1840"/>
      <c r="AK75" s="1842"/>
      <c r="AM75" s="1031"/>
      <c r="AN75" s="1031"/>
      <c r="AO75" s="1031"/>
      <c r="AP75" s="1031"/>
      <c r="AQ75" s="1031"/>
      <c r="AR75" s="1031"/>
      <c r="AS75" s="1031"/>
      <c r="AT75" s="1031"/>
      <c r="AU75" s="1031"/>
      <c r="AV75" s="1031"/>
      <c r="AW75" s="1031"/>
      <c r="AX75" s="1031"/>
      <c r="AY75" s="1031"/>
      <c r="AZ75" s="1031"/>
      <c r="BA75" s="1031"/>
      <c r="BB75" s="1031"/>
      <c r="BC75" s="1031"/>
      <c r="BD75" s="1031"/>
      <c r="BE75" s="1031"/>
      <c r="BF75" s="1031"/>
    </row>
    <row r="76" spans="1:58" s="1969" customFormat="1" ht="17.25" customHeight="1"/>
    <row r="77" spans="1:58" s="1737" customFormat="1" ht="11.25" customHeight="1">
      <c r="A77" s="21" t="s">
        <v>1415</v>
      </c>
    </row>
    <row r="78" spans="1:58" s="1969" customFormat="1" ht="17.25" customHeight="1"/>
    <row r="79" spans="1:58" s="1829" customFormat="1" ht="11.25" customHeight="1">
      <c r="A79" s="1040"/>
      <c r="B79" s="1040"/>
      <c r="C79" s="1040"/>
      <c r="D79" s="1034"/>
      <c r="E79" s="1044"/>
      <c r="F79" s="1843"/>
      <c r="G79" s="1844"/>
      <c r="H79" s="1844"/>
      <c r="I79" s="1845"/>
      <c r="J79" s="1845"/>
      <c r="K79" s="1846"/>
      <c r="L79" s="1845"/>
      <c r="M79" s="1844"/>
      <c r="N79" s="2160"/>
      <c r="O79" s="2161">
        <v>1</v>
      </c>
      <c r="P79" s="2156" t="s">
        <v>55</v>
      </c>
      <c r="Q79" s="2159" t="s">
        <v>17</v>
      </c>
      <c r="R79" s="2159" t="s">
        <v>17</v>
      </c>
      <c r="S79" s="2159" t="s">
        <v>17</v>
      </c>
      <c r="T79" s="2159" t="s">
        <v>17</v>
      </c>
      <c r="U79" s="2159" t="s">
        <v>17</v>
      </c>
      <c r="V79" s="2159" t="s">
        <v>17</v>
      </c>
      <c r="W79" s="2159" t="s">
        <v>17</v>
      </c>
      <c r="X79" s="2159" t="s">
        <v>17</v>
      </c>
      <c r="Y79" s="2159"/>
      <c r="Z79" s="1048"/>
      <c r="AA79" s="1049"/>
      <c r="AB79" s="1049"/>
      <c r="AC79" s="1658"/>
      <c r="AD79" s="1658"/>
      <c r="AE79" s="1658"/>
      <c r="AF79" s="1847"/>
      <c r="AG79" s="1848"/>
      <c r="AH79" s="1848"/>
      <c r="AI79" s="1847"/>
      <c r="AJ79" s="1848"/>
      <c r="AK79" s="1848"/>
      <c r="AL79" s="1046"/>
      <c r="AM79" s="1031"/>
      <c r="AN79" s="1031"/>
      <c r="AO79" s="1031"/>
      <c r="AP79" s="1031"/>
      <c r="AQ79" s="1031"/>
      <c r="AR79" s="1031"/>
      <c r="AS79" s="1031"/>
      <c r="AT79" s="1031"/>
      <c r="AU79" s="1031"/>
      <c r="AV79" s="1031"/>
      <c r="AW79" s="1031"/>
      <c r="AX79" s="1031"/>
      <c r="AY79" s="1031"/>
      <c r="AZ79" s="1031"/>
      <c r="BA79" s="1031"/>
      <c r="BB79" s="1031"/>
      <c r="BC79" s="1031"/>
      <c r="BD79" s="1031"/>
      <c r="BE79" s="1031"/>
      <c r="BF79" s="1031"/>
    </row>
    <row r="80" spans="1:58" s="1829" customFormat="1" ht="11.25" customHeight="1">
      <c r="A80" s="1040"/>
      <c r="B80" s="1040"/>
      <c r="C80" s="1040"/>
      <c r="D80" s="1034"/>
      <c r="E80" s="1044"/>
      <c r="F80" s="1843"/>
      <c r="G80" s="1844"/>
      <c r="H80" s="1844"/>
      <c r="I80" s="1849"/>
      <c r="J80" s="1849"/>
      <c r="K80" s="1846"/>
      <c r="L80" s="1849"/>
      <c r="M80" s="1844"/>
      <c r="N80" s="2160"/>
      <c r="O80" s="2161"/>
      <c r="P80" s="2157"/>
      <c r="Q80" s="2159"/>
      <c r="R80" s="2159"/>
      <c r="S80" s="2191"/>
      <c r="T80" s="2159"/>
      <c r="U80" s="2159"/>
      <c r="V80" s="2159"/>
      <c r="W80" s="2159"/>
      <c r="X80" s="2159"/>
      <c r="Y80" s="2159"/>
      <c r="Z80" s="1052"/>
      <c r="AA80" s="1615">
        <v>1</v>
      </c>
      <c r="AB80" s="1660"/>
      <c r="AC80" s="1043"/>
      <c r="AD80" s="1660">
        <f>AB80</f>
        <v>0</v>
      </c>
      <c r="AE80" s="1850"/>
      <c r="AF80" s="1846"/>
      <c r="AG80" s="1848"/>
      <c r="AH80" s="1848"/>
      <c r="AI80" s="1846"/>
      <c r="AJ80" s="1848"/>
      <c r="AK80" s="1848"/>
      <c r="AL80" s="1046"/>
      <c r="AM80" s="1031"/>
      <c r="AN80" s="1031"/>
      <c r="AO80" s="1031"/>
      <c r="AP80" s="1031"/>
      <c r="AQ80" s="1031"/>
      <c r="AR80" s="1031"/>
      <c r="AS80" s="1031"/>
      <c r="AT80" s="1031"/>
      <c r="AU80" s="1031"/>
      <c r="AV80" s="1031"/>
      <c r="AW80" s="1031"/>
      <c r="AX80" s="1031"/>
      <c r="AY80" s="1031"/>
      <c r="AZ80" s="1031"/>
      <c r="BA80" s="1031"/>
      <c r="BB80" s="1031"/>
      <c r="BC80" s="1031"/>
      <c r="BD80" s="1031"/>
      <c r="BE80" s="1031"/>
      <c r="BF80" s="1031"/>
    </row>
    <row r="81" spans="1:58" s="1829" customFormat="1" ht="11.25" customHeight="1">
      <c r="A81" s="1040"/>
      <c r="B81" s="1040"/>
      <c r="C81" s="1040"/>
      <c r="D81" s="1034"/>
      <c r="E81" s="1044"/>
      <c r="F81" s="1843"/>
      <c r="G81" s="1844"/>
      <c r="H81" s="1844"/>
      <c r="I81" s="1851"/>
      <c r="J81" s="1851"/>
      <c r="K81" s="1846"/>
      <c r="L81" s="1851"/>
      <c r="M81" s="1844"/>
      <c r="N81" s="2160"/>
      <c r="O81" s="2161"/>
      <c r="P81" s="2158"/>
      <c r="Q81" s="2159"/>
      <c r="R81" s="2159"/>
      <c r="S81" s="2191"/>
      <c r="T81" s="2159"/>
      <c r="U81" s="2159"/>
      <c r="V81" s="2159"/>
      <c r="W81" s="2159"/>
      <c r="X81" s="2159"/>
      <c r="Y81" s="2159"/>
      <c r="Z81" s="1048"/>
      <c r="AA81" s="1049"/>
      <c r="AB81" s="1112" t="s">
        <v>1412</v>
      </c>
      <c r="AC81" s="1658"/>
      <c r="AD81" s="1658"/>
      <c r="AE81" s="1658"/>
      <c r="AF81" s="1852"/>
      <c r="AG81" s="1848"/>
      <c r="AH81" s="1848"/>
      <c r="AI81" s="1852"/>
      <c r="AJ81" s="1848"/>
      <c r="AK81" s="1848"/>
      <c r="AL81" s="1046"/>
      <c r="AM81" s="1031"/>
      <c r="AN81" s="1031"/>
      <c r="AO81" s="1031"/>
      <c r="AP81" s="1031"/>
      <c r="AQ81" s="1031"/>
      <c r="AR81" s="1031"/>
      <c r="AS81" s="1031"/>
      <c r="AT81" s="1031"/>
      <c r="AU81" s="1031"/>
      <c r="AV81" s="1031"/>
      <c r="AW81" s="1031"/>
      <c r="AX81" s="1031"/>
      <c r="AY81" s="1031"/>
      <c r="AZ81" s="1031"/>
      <c r="BA81" s="1031"/>
      <c r="BB81" s="1031"/>
      <c r="BC81" s="1031"/>
      <c r="BD81" s="1031"/>
      <c r="BE81" s="1031"/>
      <c r="BF81" s="1031"/>
    </row>
    <row r="82" spans="1:58" s="1969" customFormat="1" ht="17.25" customHeight="1"/>
    <row r="83" spans="1:58" s="1737" customFormat="1" ht="11.25" customHeight="1">
      <c r="A83" s="21" t="s">
        <v>1416</v>
      </c>
    </row>
    <row r="84" spans="1:58" s="1969" customFormat="1" ht="17.25" customHeight="1"/>
    <row r="85" spans="1:58" s="1829" customFormat="1" ht="11.25" customHeight="1">
      <c r="A85" s="1040"/>
      <c r="B85" s="1040"/>
      <c r="C85" s="1040"/>
      <c r="D85" s="1034"/>
      <c r="E85" s="1044"/>
      <c r="F85" s="300"/>
      <c r="G85" s="300"/>
      <c r="H85" s="300"/>
      <c r="I85" s="300"/>
      <c r="J85" s="300"/>
      <c r="K85" s="300"/>
      <c r="L85" s="300"/>
      <c r="M85" s="300"/>
      <c r="N85" s="300"/>
      <c r="O85" s="300"/>
      <c r="P85" s="300"/>
      <c r="Q85" s="300"/>
      <c r="R85" s="300"/>
      <c r="S85" s="300"/>
      <c r="T85" s="300"/>
      <c r="U85" s="300"/>
      <c r="V85" s="300"/>
      <c r="W85" s="300"/>
      <c r="X85" s="300"/>
      <c r="Y85" s="300"/>
      <c r="Z85" s="1052"/>
      <c r="AA85" s="1615">
        <v>1</v>
      </c>
      <c r="AB85" s="1660"/>
      <c r="AC85" s="1043"/>
      <c r="AD85" s="1660">
        <f>AB85</f>
        <v>0</v>
      </c>
      <c r="AE85" s="1043"/>
      <c r="AF85" s="1846"/>
      <c r="AG85" s="1848"/>
      <c r="AH85" s="1848"/>
      <c r="AI85" s="1846"/>
      <c r="AJ85" s="1848"/>
      <c r="AK85" s="1848"/>
      <c r="AL85" s="1046"/>
      <c r="AM85" s="1031"/>
      <c r="AN85" s="1031"/>
      <c r="AO85" s="1031"/>
      <c r="AP85" s="1031"/>
      <c r="AQ85" s="1031"/>
      <c r="AR85" s="1031"/>
      <c r="AS85" s="1031"/>
      <c r="AT85" s="1031"/>
      <c r="AU85" s="1031"/>
      <c r="AV85" s="1031"/>
      <c r="AW85" s="1031"/>
      <c r="AX85" s="1031"/>
      <c r="AY85" s="1031"/>
      <c r="AZ85" s="1031"/>
      <c r="BA85" s="1031"/>
      <c r="BB85" s="1031"/>
      <c r="BC85" s="1031"/>
      <c r="BD85" s="1031"/>
      <c r="BE85" s="1031"/>
      <c r="BF85" s="1031"/>
    </row>
    <row r="86" spans="1:58" s="1969" customFormat="1" ht="17.25" customHeight="1"/>
    <row r="87" spans="1:58" s="1737" customFormat="1" ht="11.25" customHeight="1">
      <c r="A87" s="21" t="s">
        <v>1417</v>
      </c>
    </row>
    <row r="88" spans="1:58" s="1969" customFormat="1" ht="17.25" customHeight="1"/>
    <row r="89" spans="1:58" s="1829" customFormat="1" ht="11.25" customHeight="1">
      <c r="A89" s="1040"/>
      <c r="B89" s="1040"/>
      <c r="C89" s="1040"/>
      <c r="D89" s="1034"/>
      <c r="E89" s="1044"/>
      <c r="F89" s="1843"/>
      <c r="G89" s="1844"/>
      <c r="H89" s="2146" t="s">
        <v>108</v>
      </c>
      <c r="I89" s="2192"/>
      <c r="J89" s="2193"/>
      <c r="K89" s="2194"/>
      <c r="L89" s="2186" t="s">
        <v>55</v>
      </c>
      <c r="M89" s="2018"/>
      <c r="N89" s="1051"/>
      <c r="O89" s="1050" t="s">
        <v>370</v>
      </c>
      <c r="P89" s="1051"/>
      <c r="Q89" s="1051"/>
      <c r="R89" s="1051"/>
      <c r="S89" s="1051"/>
      <c r="T89" s="1051"/>
      <c r="U89" s="1051"/>
      <c r="V89" s="1051"/>
      <c r="W89" s="1051"/>
      <c r="X89" s="1051"/>
      <c r="Y89" s="1051"/>
      <c r="Z89" s="1051"/>
      <c r="AA89" s="1051"/>
      <c r="AB89" s="1051"/>
      <c r="AC89" s="1051"/>
      <c r="AD89" s="1051"/>
      <c r="AE89" s="1051"/>
      <c r="AF89" s="2190"/>
      <c r="AG89" s="2186"/>
      <c r="AH89" s="2186"/>
      <c r="AI89" s="2190"/>
      <c r="AJ89" s="2186"/>
      <c r="AK89" s="2186"/>
      <c r="AL89" s="1046"/>
      <c r="AM89" s="1031"/>
      <c r="AN89" s="1031"/>
      <c r="AO89" s="1031"/>
      <c r="AP89" s="1031"/>
      <c r="AQ89" s="1031"/>
      <c r="AR89" s="1031"/>
      <c r="AS89" s="1031"/>
      <c r="AT89" s="1031"/>
      <c r="AU89" s="1031"/>
      <c r="AV89" s="1031"/>
      <c r="AW89" s="1031"/>
      <c r="AX89" s="1031"/>
      <c r="AY89" s="1031"/>
      <c r="AZ89" s="1031"/>
      <c r="BA89" s="1031"/>
      <c r="BB89" s="1031"/>
      <c r="BC89" s="1031"/>
      <c r="BD89" s="1031"/>
      <c r="BE89" s="1031"/>
      <c r="BF89" s="1031"/>
    </row>
    <row r="90" spans="1:58" s="1829" customFormat="1" ht="11.25" customHeight="1">
      <c r="A90" s="1040"/>
      <c r="B90" s="1040"/>
      <c r="C90" s="1040"/>
      <c r="D90" s="1034"/>
      <c r="E90" s="1044"/>
      <c r="F90" s="1843"/>
      <c r="G90" s="1844"/>
      <c r="H90" s="2146"/>
      <c r="I90" s="2192"/>
      <c r="J90" s="2193"/>
      <c r="K90" s="2194"/>
      <c r="L90" s="2186"/>
      <c r="M90" s="2018"/>
      <c r="N90" s="2195"/>
      <c r="O90" s="2161">
        <v>1</v>
      </c>
      <c r="P90" s="2156" t="s">
        <v>55</v>
      </c>
      <c r="Q90" s="2159" t="s">
        <v>17</v>
      </c>
      <c r="R90" s="2159" t="s">
        <v>17</v>
      </c>
      <c r="S90" s="2159" t="s">
        <v>17</v>
      </c>
      <c r="T90" s="2159" t="s">
        <v>17</v>
      </c>
      <c r="U90" s="2159" t="s">
        <v>17</v>
      </c>
      <c r="V90" s="2159" t="s">
        <v>17</v>
      </c>
      <c r="W90" s="2159" t="s">
        <v>17</v>
      </c>
      <c r="X90" s="2159" t="s">
        <v>17</v>
      </c>
      <c r="Y90" s="2159"/>
      <c r="Z90" s="1048"/>
      <c r="AA90" s="1049"/>
      <c r="AB90" s="1049"/>
      <c r="AC90" s="1658"/>
      <c r="AD90" s="1658"/>
      <c r="AE90" s="1659"/>
      <c r="AF90" s="2190"/>
      <c r="AG90" s="2186"/>
      <c r="AH90" s="2186"/>
      <c r="AI90" s="2190"/>
      <c r="AJ90" s="2186"/>
      <c r="AK90" s="2186"/>
      <c r="AL90" s="1046"/>
      <c r="AM90" s="1031"/>
      <c r="AN90" s="1031"/>
      <c r="AO90" s="1031"/>
      <c r="AP90" s="1031"/>
      <c r="AQ90" s="1031"/>
      <c r="AR90" s="1031"/>
      <c r="AS90" s="1031"/>
      <c r="AT90" s="1031"/>
      <c r="AU90" s="1031"/>
      <c r="AV90" s="1031"/>
      <c r="AW90" s="1031"/>
      <c r="AX90" s="1031"/>
      <c r="AY90" s="1031"/>
      <c r="AZ90" s="1031"/>
      <c r="BA90" s="1031"/>
      <c r="BB90" s="1031"/>
      <c r="BC90" s="1031"/>
      <c r="BD90" s="1031"/>
      <c r="BE90" s="1031"/>
      <c r="BF90" s="1031"/>
    </row>
    <row r="91" spans="1:58" s="1829" customFormat="1" ht="11.25" customHeight="1">
      <c r="A91" s="1040"/>
      <c r="B91" s="1040"/>
      <c r="C91" s="1040"/>
      <c r="D91" s="1034"/>
      <c r="E91" s="1044"/>
      <c r="F91" s="1843"/>
      <c r="G91" s="1844"/>
      <c r="H91" s="2146"/>
      <c r="I91" s="2192"/>
      <c r="J91" s="2193"/>
      <c r="K91" s="2194"/>
      <c r="L91" s="2186"/>
      <c r="M91" s="2018"/>
      <c r="N91" s="2195"/>
      <c r="O91" s="2161"/>
      <c r="P91" s="2157"/>
      <c r="Q91" s="2159"/>
      <c r="R91" s="2159"/>
      <c r="S91" s="2191"/>
      <c r="T91" s="2159"/>
      <c r="U91" s="2159"/>
      <c r="V91" s="2159"/>
      <c r="W91" s="2159"/>
      <c r="X91" s="2159"/>
      <c r="Y91" s="2159"/>
      <c r="Z91" s="1052"/>
      <c r="AA91" s="1615">
        <v>1</v>
      </c>
      <c r="AB91" s="1660"/>
      <c r="AC91" s="1043"/>
      <c r="AD91" s="1660">
        <f>AB91</f>
        <v>0</v>
      </c>
      <c r="AE91" s="1043"/>
      <c r="AF91" s="2190"/>
      <c r="AG91" s="2186"/>
      <c r="AH91" s="2186"/>
      <c r="AI91" s="2190"/>
      <c r="AJ91" s="2186"/>
      <c r="AK91" s="2186"/>
      <c r="AL91" s="1046"/>
      <c r="AM91" s="1031"/>
      <c r="AN91" s="1031"/>
      <c r="AO91" s="1031"/>
      <c r="AP91" s="1031"/>
      <c r="AQ91" s="1031"/>
      <c r="AR91" s="1031"/>
      <c r="AS91" s="1031"/>
      <c r="AT91" s="1031"/>
      <c r="AU91" s="1031"/>
      <c r="AV91" s="1031"/>
      <c r="AW91" s="1031"/>
      <c r="AX91" s="1031"/>
      <c r="AY91" s="1031"/>
      <c r="AZ91" s="1031"/>
      <c r="BA91" s="1031"/>
      <c r="BB91" s="1031"/>
      <c r="BC91" s="1031"/>
      <c r="BD91" s="1031"/>
      <c r="BE91" s="1031"/>
      <c r="BF91" s="1031"/>
    </row>
    <row r="92" spans="1:58" s="1829" customFormat="1" ht="11.25" customHeight="1">
      <c r="A92" s="1040"/>
      <c r="B92" s="1040"/>
      <c r="C92" s="1040"/>
      <c r="D92" s="1034"/>
      <c r="E92" s="1044"/>
      <c r="F92" s="1843"/>
      <c r="G92" s="1844"/>
      <c r="H92" s="2146"/>
      <c r="I92" s="2192"/>
      <c r="J92" s="2193"/>
      <c r="K92" s="2194"/>
      <c r="L92" s="2186"/>
      <c r="M92" s="2018"/>
      <c r="N92" s="2195"/>
      <c r="O92" s="2161"/>
      <c r="P92" s="2158"/>
      <c r="Q92" s="2159"/>
      <c r="R92" s="2159"/>
      <c r="S92" s="2191"/>
      <c r="T92" s="2159"/>
      <c r="U92" s="2159"/>
      <c r="V92" s="2159"/>
      <c r="W92" s="2159"/>
      <c r="X92" s="2159"/>
      <c r="Y92" s="2159"/>
      <c r="Z92" s="1048"/>
      <c r="AA92" s="1049"/>
      <c r="AB92" s="1112" t="s">
        <v>1412</v>
      </c>
      <c r="AC92" s="1658"/>
      <c r="AD92" s="1658"/>
      <c r="AE92" s="1661"/>
      <c r="AF92" s="2190"/>
      <c r="AG92" s="2186"/>
      <c r="AH92" s="2186"/>
      <c r="AI92" s="2190"/>
      <c r="AJ92" s="2186"/>
      <c r="AK92" s="2186"/>
      <c r="AL92" s="1046"/>
      <c r="AM92" s="1031"/>
      <c r="AN92" s="1031"/>
      <c r="AO92" s="1031"/>
      <c r="AP92" s="1031"/>
      <c r="AQ92" s="1031"/>
      <c r="AR92" s="1031"/>
      <c r="AS92" s="1031"/>
      <c r="AT92" s="1031"/>
      <c r="AU92" s="1031"/>
      <c r="AV92" s="1031"/>
      <c r="AW92" s="1031"/>
      <c r="AX92" s="1031"/>
      <c r="AY92" s="1031"/>
      <c r="AZ92" s="1031"/>
      <c r="BA92" s="1031"/>
      <c r="BB92" s="1031"/>
      <c r="BC92" s="1031"/>
      <c r="BD92" s="1031"/>
      <c r="BE92" s="1031"/>
      <c r="BF92" s="1031"/>
    </row>
    <row r="93" spans="1:58" s="1829" customFormat="1" ht="11.25" customHeight="1">
      <c r="A93" s="1040"/>
      <c r="B93" s="1040"/>
      <c r="C93" s="1040"/>
      <c r="D93" s="1034"/>
      <c r="E93" s="1044"/>
      <c r="F93" s="1843"/>
      <c r="G93" s="1844"/>
      <c r="H93" s="2146"/>
      <c r="I93" s="2192"/>
      <c r="J93" s="2193"/>
      <c r="K93" s="2194"/>
      <c r="L93" s="2186"/>
      <c r="M93" s="2018"/>
      <c r="N93" s="1049"/>
      <c r="O93" s="1049"/>
      <c r="P93" s="1042" t="s">
        <v>1413</v>
      </c>
      <c r="Q93" s="1049"/>
      <c r="R93" s="1049"/>
      <c r="S93" s="1049"/>
      <c r="T93" s="1049"/>
      <c r="U93" s="1049"/>
      <c r="V93" s="1049"/>
      <c r="W93" s="1049"/>
      <c r="X93" s="1049"/>
      <c r="Y93" s="1049"/>
      <c r="Z93" s="1049"/>
      <c r="AA93" s="1049"/>
      <c r="AB93" s="1049"/>
      <c r="AC93" s="1049"/>
      <c r="AD93" s="1049"/>
      <c r="AE93" s="1054"/>
      <c r="AF93" s="2190"/>
      <c r="AG93" s="2186"/>
      <c r="AH93" s="2186"/>
      <c r="AI93" s="2190"/>
      <c r="AJ93" s="2186"/>
      <c r="AK93" s="2186"/>
      <c r="AL93" s="1046"/>
      <c r="AM93" s="1031"/>
      <c r="AN93" s="1031"/>
      <c r="AO93" s="1031"/>
      <c r="AP93" s="1031"/>
      <c r="AQ93" s="1031"/>
      <c r="AR93" s="1031"/>
      <c r="AS93" s="1031"/>
      <c r="AT93" s="1031"/>
      <c r="AU93" s="1031"/>
      <c r="AV93" s="1031"/>
      <c r="AW93" s="1031"/>
      <c r="AX93" s="1031"/>
      <c r="AY93" s="1031"/>
      <c r="AZ93" s="1031"/>
      <c r="BA93" s="1031"/>
      <c r="BB93" s="1031"/>
      <c r="BC93" s="1031"/>
      <c r="BD93" s="1031"/>
      <c r="BE93" s="1031"/>
      <c r="BF93" s="1031"/>
    </row>
    <row r="94" spans="1:58" s="1969" customFormat="1" ht="17.25" customHeight="1"/>
    <row r="95" spans="1:58" s="1737" customFormat="1" ht="11.25" customHeight="1">
      <c r="A95" s="21" t="s">
        <v>1418</v>
      </c>
    </row>
    <row r="96" spans="1:58" s="1969" customFormat="1" ht="17.25" customHeight="1"/>
    <row r="97" spans="1:184" s="1854" customFormat="1" ht="21" customHeight="1">
      <c r="A97" s="1041"/>
      <c r="B97" s="1853"/>
      <c r="E97" s="1855" t="s">
        <v>17</v>
      </c>
      <c r="F97" s="1856" t="e">
        <f>INDEX(IP_MAIN_LIST_NAME_IP,MATCH(A97,IP_MAIN_LIST_IP_ID,0))&amp;" ("&amp;INDEX(IP_MAIN_START_DATE,MATCH(A97,IP_MAIN_LIST_IP_ID,0))&amp;"-"&amp;INDEX(IP_MAIN_END_DATE,MATCH(A97,IP_MAIN_LIST_IP_ID,0))&amp;")"</f>
        <v>#N/A</v>
      </c>
      <c r="G97" s="1857"/>
      <c r="H97" s="1858"/>
      <c r="I97" s="1858"/>
      <c r="J97" s="1858"/>
      <c r="K97" s="1858"/>
      <c r="L97" s="1858"/>
      <c r="M97" s="1858"/>
      <c r="N97" s="1858"/>
      <c r="O97" s="1857"/>
      <c r="P97" s="1857"/>
      <c r="Q97" s="1857"/>
      <c r="R97" s="1857"/>
      <c r="S97" s="1857"/>
      <c r="T97" s="1857"/>
      <c r="U97" s="1859"/>
      <c r="V97" s="1859"/>
      <c r="W97" s="1859"/>
      <c r="X97" s="1859"/>
      <c r="Y97" s="1074"/>
      <c r="Z97" s="1074"/>
      <c r="AA97" s="1074"/>
      <c r="AB97" s="1857"/>
      <c r="AC97" s="1073"/>
      <c r="AD97" s="1858"/>
      <c r="AE97" s="1858"/>
      <c r="AF97" s="1858"/>
      <c r="AG97" s="1858"/>
      <c r="AH97" s="1858"/>
      <c r="AI97" s="1858"/>
      <c r="AJ97" s="1858"/>
      <c r="AK97" s="1858"/>
      <c r="AL97" s="1858"/>
      <c r="AM97" s="1858"/>
      <c r="AN97" s="1858"/>
      <c r="AO97" s="1858"/>
      <c r="AP97" s="1858"/>
      <c r="AQ97" s="1858"/>
      <c r="AR97" s="1858"/>
      <c r="AS97" s="1858"/>
      <c r="AT97" s="1858"/>
      <c r="AU97" s="1858"/>
      <c r="AV97" s="1858"/>
      <c r="AW97" s="1858"/>
      <c r="AX97" s="1858"/>
      <c r="AY97" s="1858"/>
      <c r="AZ97" s="1858"/>
      <c r="BA97" s="1858"/>
      <c r="BB97" s="1858"/>
      <c r="BC97" s="1858"/>
      <c r="BD97" s="1858"/>
      <c r="BE97" s="1858"/>
      <c r="BF97" s="1858"/>
      <c r="BG97" s="1858"/>
      <c r="BH97" s="1858"/>
      <c r="BI97" s="1858"/>
      <c r="BJ97" s="1858"/>
      <c r="BK97" s="1858"/>
      <c r="BL97" s="1858"/>
      <c r="BM97" s="1858"/>
      <c r="BN97" s="1858"/>
      <c r="BO97" s="1858"/>
      <c r="BP97" s="1858"/>
      <c r="BQ97" s="1858"/>
      <c r="BR97" s="1858"/>
      <c r="BS97" s="1858"/>
      <c r="BT97" s="1858"/>
      <c r="BU97" s="1858"/>
      <c r="BV97" s="1858"/>
      <c r="BW97" s="1858"/>
      <c r="BX97" s="1858"/>
      <c r="BY97" s="1858"/>
      <c r="BZ97" s="1858"/>
      <c r="CA97" s="1858"/>
      <c r="CB97" s="1858"/>
      <c r="CC97" s="1858"/>
      <c r="CD97" s="1858"/>
      <c r="CE97" s="1858"/>
      <c r="CF97" s="1858"/>
      <c r="CG97" s="1858"/>
      <c r="CH97" s="1858"/>
      <c r="CI97" s="1858"/>
      <c r="CJ97" s="1858"/>
      <c r="CK97" s="1858"/>
      <c r="CL97" s="1860"/>
      <c r="CM97" s="1075"/>
      <c r="CN97" s="1075"/>
      <c r="CO97" s="1075"/>
      <c r="CP97" s="1075"/>
      <c r="CQ97" s="1075"/>
      <c r="CR97" s="1075"/>
      <c r="CS97" s="1075"/>
      <c r="CT97" s="1075"/>
      <c r="CU97" s="1075"/>
      <c r="CV97" s="1075"/>
      <c r="CW97" s="1075"/>
      <c r="CX97" s="1075"/>
      <c r="CY97" s="1075"/>
      <c r="CZ97" s="1075"/>
      <c r="DA97" s="1075"/>
      <c r="DB97" s="1075"/>
      <c r="DC97" s="1075"/>
      <c r="DD97" s="1075"/>
      <c r="DE97" s="1075"/>
      <c r="DF97" s="1075"/>
      <c r="DG97" s="1075"/>
      <c r="DH97" s="1075"/>
      <c r="DI97" s="1075"/>
      <c r="DJ97" s="1075"/>
      <c r="DK97" s="1075"/>
      <c r="DL97" s="1075"/>
      <c r="DM97" s="1075"/>
      <c r="DN97" s="1075"/>
      <c r="DO97" s="1075"/>
      <c r="DP97" s="1075"/>
      <c r="DQ97" s="1075"/>
      <c r="DR97" s="1075"/>
      <c r="DS97" s="1075"/>
      <c r="DT97" s="1075"/>
      <c r="DU97" s="1075"/>
      <c r="DV97" s="1075"/>
      <c r="DW97" s="1075"/>
      <c r="DX97" s="1075"/>
      <c r="DY97" s="1075"/>
      <c r="DZ97" s="1075"/>
      <c r="EA97" s="1075"/>
      <c r="EB97" s="1075"/>
      <c r="EC97" s="1075"/>
      <c r="ED97" s="1075"/>
      <c r="EE97" s="1075"/>
      <c r="EF97" s="1075"/>
      <c r="EG97" s="1075"/>
      <c r="EH97" s="1075"/>
      <c r="EI97" s="1075"/>
      <c r="EJ97" s="1075"/>
      <c r="EK97" s="1075"/>
      <c r="EL97" s="1075"/>
      <c r="EM97" s="1075"/>
      <c r="EN97" s="1075"/>
      <c r="EO97" s="1075"/>
      <c r="EP97" s="1075"/>
      <c r="EQ97" s="1075"/>
      <c r="ER97" s="1075"/>
      <c r="ES97" s="1075"/>
      <c r="ET97" s="1075"/>
      <c r="EU97" s="1075"/>
      <c r="EV97" s="1075"/>
      <c r="EW97" s="1075"/>
      <c r="EX97" s="1075"/>
      <c r="EY97" s="1075"/>
      <c r="EZ97" s="1075"/>
      <c r="FA97" s="1075"/>
      <c r="FB97" s="1075"/>
      <c r="FC97" s="1075"/>
      <c r="FD97" s="1075"/>
      <c r="FE97" s="1075"/>
      <c r="FF97" s="1075"/>
      <c r="FG97" s="1075"/>
      <c r="FH97" s="1075"/>
      <c r="FI97" s="1075"/>
      <c r="FJ97" s="1075"/>
      <c r="FK97" s="1075"/>
      <c r="FL97" s="1075"/>
      <c r="FM97" s="1075"/>
      <c r="FN97" s="1075"/>
      <c r="FO97" s="1075"/>
      <c r="FP97" s="1075"/>
      <c r="FQ97" s="1075"/>
      <c r="FR97" s="1075"/>
      <c r="FS97" s="1075"/>
      <c r="FT97" s="1075"/>
      <c r="FU97" s="1075"/>
      <c r="FV97" s="1076"/>
      <c r="FW97" s="1071"/>
      <c r="FX97" s="1072"/>
    </row>
    <row r="98" spans="1:184" s="1854" customFormat="1" ht="24.75" customHeight="1">
      <c r="B98" s="822"/>
      <c r="C98" s="823"/>
      <c r="E98" s="1058"/>
      <c r="F98" s="1077">
        <v>1</v>
      </c>
      <c r="G98" s="1861"/>
      <c r="H98" s="1862"/>
      <c r="I98" s="1863"/>
      <c r="J98" s="1864"/>
      <c r="K98" s="1864"/>
      <c r="L98" s="1864"/>
      <c r="M98" s="1864"/>
      <c r="N98" s="1864"/>
      <c r="O98" s="1865"/>
      <c r="P98" s="1865"/>
      <c r="Q98" s="1865"/>
      <c r="R98" s="1865"/>
      <c r="S98" s="1865"/>
      <c r="T98" s="1865"/>
      <c r="U98" s="1865"/>
      <c r="V98" s="1865"/>
      <c r="W98" s="1865"/>
      <c r="X98" s="1865"/>
      <c r="Y98" s="1079"/>
      <c r="Z98" s="1079"/>
      <c r="AA98" s="1079"/>
      <c r="AB98" s="1865"/>
      <c r="AC98" s="1078"/>
      <c r="AD98" s="1864"/>
      <c r="AE98" s="1864"/>
      <c r="AF98" s="1864"/>
      <c r="AG98" s="1864"/>
      <c r="AH98" s="1864"/>
      <c r="AI98" s="1864"/>
      <c r="AJ98" s="1864"/>
      <c r="AK98" s="1864"/>
      <c r="AL98" s="1864"/>
      <c r="AM98" s="1864"/>
      <c r="AN98" s="1864"/>
      <c r="AO98" s="1864"/>
      <c r="AP98" s="1864"/>
      <c r="AQ98" s="1864"/>
      <c r="AR98" s="1864"/>
      <c r="AS98" s="1864"/>
      <c r="AT98" s="1864"/>
      <c r="AU98" s="1864"/>
      <c r="AV98" s="1864"/>
      <c r="AW98" s="1864"/>
      <c r="AX98" s="1864"/>
      <c r="AY98" s="1864"/>
      <c r="AZ98" s="1864"/>
      <c r="BA98" s="1864"/>
      <c r="BB98" s="1864"/>
      <c r="BC98" s="1864"/>
      <c r="BD98" s="1864"/>
      <c r="BE98" s="1864"/>
      <c r="BF98" s="1864"/>
      <c r="BG98" s="1864"/>
      <c r="BH98" s="1864"/>
      <c r="BI98" s="1864"/>
      <c r="BJ98" s="1864"/>
      <c r="BK98" s="1864"/>
      <c r="BL98" s="1864"/>
      <c r="BM98" s="1864"/>
      <c r="BN98" s="1864"/>
      <c r="BO98" s="1864"/>
      <c r="BP98" s="1864"/>
      <c r="BQ98" s="1864"/>
      <c r="BR98" s="1864"/>
      <c r="BS98" s="1864"/>
      <c r="BT98" s="1866"/>
      <c r="BU98" s="1866"/>
      <c r="BV98" s="1866"/>
      <c r="BW98" s="1866"/>
      <c r="BX98" s="1866"/>
      <c r="BY98" s="1866"/>
      <c r="BZ98" s="1866"/>
      <c r="CA98" s="1866"/>
      <c r="CB98" s="1866"/>
      <c r="CC98" s="1866"/>
      <c r="CD98" s="1866"/>
      <c r="CE98" s="1866"/>
      <c r="CF98" s="1866"/>
      <c r="CG98" s="1866"/>
      <c r="CH98" s="1866"/>
      <c r="CI98" s="1866"/>
      <c r="CJ98" s="1866"/>
      <c r="CK98" s="1866"/>
      <c r="CL98" s="1864"/>
      <c r="CM98" s="1078"/>
      <c r="CN98" s="1078"/>
      <c r="CO98" s="1078"/>
      <c r="CP98" s="1078"/>
      <c r="CQ98" s="1078"/>
      <c r="CR98" s="1078"/>
      <c r="CS98" s="1078"/>
      <c r="CT98" s="1078"/>
      <c r="CU98" s="1078"/>
      <c r="CV98" s="1078"/>
      <c r="CW98" s="1078"/>
      <c r="CX98" s="1078"/>
      <c r="CY98" s="1079"/>
      <c r="CZ98" s="1079"/>
      <c r="DA98" s="1079"/>
      <c r="DB98" s="1079"/>
      <c r="DC98" s="1079"/>
      <c r="DD98" s="1079"/>
      <c r="DE98" s="1079"/>
      <c r="DF98" s="1079"/>
      <c r="DG98" s="1079"/>
      <c r="DH98" s="1079"/>
      <c r="DI98" s="1079"/>
      <c r="DJ98" s="1079"/>
      <c r="DK98" s="1078"/>
      <c r="DL98" s="1078"/>
      <c r="DM98" s="1078"/>
      <c r="DN98" s="1078"/>
      <c r="DO98" s="1078"/>
      <c r="DP98" s="1078"/>
      <c r="DQ98" s="1078"/>
      <c r="DR98" s="1078"/>
      <c r="DS98" s="1078"/>
      <c r="DT98" s="1078"/>
      <c r="DU98" s="1078"/>
      <c r="DV98" s="1078"/>
      <c r="DW98" s="1078"/>
      <c r="DX98" s="1078"/>
      <c r="DY98" s="1078"/>
      <c r="DZ98" s="1078"/>
      <c r="EA98" s="1078"/>
      <c r="EB98" s="1078"/>
      <c r="EC98" s="1078"/>
      <c r="ED98" s="1078"/>
      <c r="EE98" s="1078"/>
      <c r="EF98" s="1078"/>
      <c r="EG98" s="1078"/>
      <c r="EH98" s="1078"/>
      <c r="EI98" s="1078"/>
      <c r="EJ98" s="1078"/>
      <c r="EK98" s="1078"/>
      <c r="EL98" s="1078"/>
      <c r="EM98" s="1078"/>
      <c r="EN98" s="1078"/>
      <c r="EO98" s="1078"/>
      <c r="EP98" s="1078"/>
      <c r="EQ98" s="1078"/>
      <c r="ER98" s="1078"/>
      <c r="ES98" s="1078"/>
      <c r="ET98" s="1078"/>
      <c r="EU98" s="1078"/>
      <c r="EV98" s="1078"/>
      <c r="EW98" s="1078"/>
      <c r="EX98" s="1078"/>
      <c r="EY98" s="1078"/>
      <c r="EZ98" s="1078"/>
      <c r="FA98" s="1078"/>
      <c r="FB98" s="1078"/>
      <c r="FC98" s="1078"/>
      <c r="FD98" s="1078"/>
      <c r="FE98" s="1078"/>
      <c r="FF98" s="1078"/>
      <c r="FG98" s="1078"/>
      <c r="FH98" s="1078"/>
      <c r="FI98" s="1078"/>
      <c r="FJ98" s="1078"/>
      <c r="FK98" s="1078"/>
      <c r="FL98" s="1078"/>
      <c r="FM98" s="1078"/>
      <c r="FN98" s="1078"/>
      <c r="FO98" s="1078"/>
      <c r="FP98" s="1078"/>
      <c r="FQ98" s="1078"/>
      <c r="FR98" s="1078"/>
      <c r="FS98" s="1078"/>
      <c r="FT98" s="1078"/>
      <c r="FU98" s="1078"/>
      <c r="FV98" s="1078"/>
      <c r="FW98" s="1078"/>
      <c r="FX98" s="1072"/>
    </row>
    <row r="99" spans="1:184" s="1854" customFormat="1" ht="12" customHeight="1">
      <c r="B99" s="822"/>
      <c r="C99" s="823"/>
      <c r="F99" s="1867"/>
      <c r="G99" s="1868" t="s">
        <v>1419</v>
      </c>
      <c r="H99" s="1869"/>
      <c r="I99" s="1869"/>
      <c r="J99" s="1869"/>
      <c r="K99" s="1869"/>
      <c r="L99" s="1869"/>
      <c r="M99" s="1869"/>
      <c r="N99" s="1869"/>
      <c r="O99" s="1869"/>
      <c r="P99" s="1869"/>
      <c r="Q99" s="1869"/>
      <c r="R99" s="1869"/>
      <c r="S99" s="1869"/>
      <c r="T99" s="1869"/>
      <c r="U99" s="1869"/>
      <c r="V99" s="1869"/>
      <c r="W99" s="1869"/>
      <c r="X99" s="1869"/>
      <c r="Y99" s="1080"/>
      <c r="Z99" s="1080"/>
      <c r="AA99" s="1080"/>
      <c r="AB99" s="1869"/>
      <c r="AC99" s="1080"/>
      <c r="AD99" s="1869"/>
      <c r="AE99" s="1869"/>
      <c r="AF99" s="1869"/>
      <c r="AG99" s="1869"/>
      <c r="AH99" s="1869"/>
      <c r="AI99" s="1869"/>
      <c r="AJ99" s="1869"/>
      <c r="AK99" s="1869"/>
      <c r="AL99" s="1869"/>
      <c r="AM99" s="1869"/>
      <c r="AN99" s="1869"/>
      <c r="AO99" s="1869"/>
      <c r="AP99" s="1869"/>
      <c r="AQ99" s="1869"/>
      <c r="AR99" s="1869"/>
      <c r="AS99" s="1869"/>
      <c r="AT99" s="1869"/>
      <c r="AU99" s="1869"/>
      <c r="AV99" s="1869"/>
      <c r="AW99" s="1869"/>
      <c r="AX99" s="1869"/>
      <c r="AY99" s="1869"/>
      <c r="AZ99" s="1869"/>
      <c r="BA99" s="1869"/>
      <c r="BB99" s="1869"/>
      <c r="BC99" s="1869"/>
      <c r="BD99" s="1869"/>
      <c r="BE99" s="1869"/>
      <c r="BF99" s="1869"/>
      <c r="BG99" s="1869"/>
      <c r="BH99" s="1869"/>
      <c r="BI99" s="1869"/>
      <c r="BJ99" s="1869"/>
      <c r="BK99" s="1869"/>
      <c r="BL99" s="1869"/>
      <c r="BM99" s="1869"/>
      <c r="BN99" s="1869"/>
      <c r="BO99" s="1869"/>
      <c r="BP99" s="1869"/>
      <c r="BQ99" s="1869"/>
      <c r="BR99" s="1869"/>
      <c r="BS99" s="1869"/>
      <c r="BT99" s="1869"/>
      <c r="BU99" s="1869"/>
      <c r="BV99" s="1869"/>
      <c r="BW99" s="1869"/>
      <c r="BX99" s="1869"/>
      <c r="BY99" s="1869"/>
      <c r="BZ99" s="1869"/>
      <c r="CA99" s="1869"/>
      <c r="CB99" s="1869"/>
      <c r="CC99" s="1869"/>
      <c r="CD99" s="1869"/>
      <c r="CE99" s="1869"/>
      <c r="CF99" s="1869"/>
      <c r="CG99" s="1869"/>
      <c r="CH99" s="1869"/>
      <c r="CI99" s="1869"/>
      <c r="CJ99" s="1869"/>
      <c r="CK99" s="1869"/>
      <c r="CL99" s="1869"/>
      <c r="CM99" s="1080"/>
      <c r="CN99" s="1080"/>
      <c r="CO99" s="1080"/>
      <c r="CP99" s="1080"/>
      <c r="CQ99" s="1080"/>
      <c r="CR99" s="1080"/>
      <c r="CS99" s="1080"/>
      <c r="CT99" s="1080"/>
      <c r="CU99" s="1080"/>
      <c r="CV99" s="1080"/>
      <c r="CW99" s="1080"/>
      <c r="CX99" s="1080"/>
      <c r="CY99" s="1080"/>
      <c r="CZ99" s="1080"/>
      <c r="DA99" s="1080"/>
      <c r="DB99" s="1080"/>
      <c r="DC99" s="1080"/>
      <c r="DD99" s="1080"/>
      <c r="DE99" s="1080"/>
      <c r="DF99" s="1080"/>
      <c r="DG99" s="1080"/>
      <c r="DH99" s="1080"/>
      <c r="DI99" s="1080"/>
      <c r="DJ99" s="1080"/>
      <c r="DK99" s="1080"/>
      <c r="DL99" s="1080"/>
      <c r="DM99" s="1080"/>
      <c r="DN99" s="1080"/>
      <c r="DO99" s="1080"/>
      <c r="DP99" s="1080"/>
      <c r="DQ99" s="1080"/>
      <c r="DR99" s="1080"/>
      <c r="DS99" s="1080"/>
      <c r="DT99" s="1080"/>
      <c r="DU99" s="1080"/>
      <c r="DV99" s="1080"/>
      <c r="DW99" s="1080"/>
      <c r="DX99" s="1080"/>
      <c r="DY99" s="1080"/>
      <c r="DZ99" s="1080"/>
      <c r="EA99" s="1080"/>
      <c r="EB99" s="1080"/>
      <c r="EC99" s="1080"/>
      <c r="ED99" s="1080"/>
      <c r="EE99" s="1080"/>
      <c r="EF99" s="1080"/>
      <c r="EG99" s="1080"/>
      <c r="EH99" s="1080"/>
      <c r="EI99" s="1080"/>
      <c r="EJ99" s="1080"/>
      <c r="EK99" s="1080"/>
      <c r="EL99" s="1080"/>
      <c r="EM99" s="1080"/>
      <c r="EN99" s="1080"/>
      <c r="EO99" s="1080"/>
      <c r="EP99" s="1080"/>
      <c r="EQ99" s="1080"/>
      <c r="ER99" s="1080"/>
      <c r="ES99" s="1080"/>
      <c r="ET99" s="1080"/>
      <c r="EU99" s="1080"/>
      <c r="EV99" s="1080"/>
      <c r="EW99" s="1080"/>
      <c r="EX99" s="1080"/>
      <c r="EY99" s="1080"/>
      <c r="EZ99" s="1080"/>
      <c r="FA99" s="1080"/>
      <c r="FB99" s="1080"/>
      <c r="FC99" s="1080"/>
      <c r="FD99" s="1080"/>
      <c r="FE99" s="1080"/>
      <c r="FF99" s="1080"/>
      <c r="FG99" s="1080"/>
      <c r="FH99" s="1080"/>
      <c r="FI99" s="1080"/>
      <c r="FJ99" s="1080"/>
      <c r="FK99" s="1080"/>
      <c r="FL99" s="1080"/>
      <c r="FM99" s="1080"/>
      <c r="FN99" s="1080"/>
      <c r="FO99" s="1080"/>
      <c r="FP99" s="1080"/>
      <c r="FQ99" s="1080"/>
      <c r="FR99" s="1080"/>
      <c r="FS99" s="1080"/>
      <c r="FT99" s="1080"/>
      <c r="FU99" s="1080"/>
      <c r="FV99" s="1080"/>
      <c r="FW99" s="1081"/>
      <c r="FX99" s="1082"/>
      <c r="FY99" s="837"/>
      <c r="FZ99" s="837"/>
      <c r="GA99" s="837"/>
      <c r="GB99" s="837"/>
    </row>
    <row r="100" spans="1:184" s="1969" customFormat="1" ht="17.25" customHeight="1"/>
    <row r="101" spans="1:184" s="1737" customFormat="1" ht="11.25" customHeight="1">
      <c r="A101" s="21" t="s">
        <v>1420</v>
      </c>
    </row>
    <row r="102" spans="1:184" s="1969" customFormat="1" ht="17.25" customHeight="1"/>
    <row r="103" spans="1:184" s="1969" customFormat="1" ht="15" customHeight="1">
      <c r="A103" s="1870"/>
      <c r="B103" s="545"/>
      <c r="C103" s="545"/>
      <c r="D103" s="2149" t="s">
        <v>108</v>
      </c>
      <c r="E103" s="2152" t="s">
        <v>104</v>
      </c>
      <c r="F103" s="2153"/>
      <c r="G103" s="2154"/>
      <c r="H103" s="2155" t="str">
        <f>IF(A103="","",INDEX(DIFFERENTIATION_UNMERGE_VD,MATCH(A103,DIFFERENTIATION_ID_DIFF,0)))</f>
        <v/>
      </c>
      <c r="I103" s="2155"/>
      <c r="J103" s="2155"/>
      <c r="K103" s="2155"/>
      <c r="L103" s="2155"/>
      <c r="M103" s="2155"/>
      <c r="N103" s="2155"/>
      <c r="O103" s="2155"/>
      <c r="P103" s="2155"/>
      <c r="Q103" s="2155"/>
      <c r="R103" s="2155"/>
      <c r="S103" s="1871"/>
      <c r="T103" s="1872"/>
      <c r="U103" s="546"/>
      <c r="V103" s="546"/>
      <c r="W103" s="547"/>
      <c r="X103" s="547"/>
      <c r="Y103" s="547"/>
      <c r="Z103" s="547"/>
      <c r="AA103" s="548"/>
      <c r="AB103" s="549"/>
      <c r="AC103" s="2164"/>
      <c r="AD103" s="550"/>
      <c r="AE103" s="1873" t="s">
        <v>17</v>
      </c>
      <c r="AF103" s="551"/>
      <c r="AG103" s="1874" t="s">
        <v>1421</v>
      </c>
      <c r="AH103" s="1875">
        <v>3</v>
      </c>
      <c r="AI103" s="546"/>
      <c r="AJ103" s="546"/>
      <c r="AK103" s="546"/>
      <c r="AL103" s="546"/>
      <c r="AM103" s="546"/>
      <c r="AN103" s="546"/>
      <c r="AO103" s="546"/>
      <c r="AP103" s="546"/>
      <c r="AQ103" s="546"/>
      <c r="AR103" s="546"/>
      <c r="AS103" s="546"/>
      <c r="AT103" s="546"/>
      <c r="AU103" s="546"/>
      <c r="AV103" s="546"/>
      <c r="AW103" s="546"/>
      <c r="AX103" s="546"/>
      <c r="AY103" s="546"/>
      <c r="AZ103" s="546"/>
      <c r="BA103" s="546"/>
      <c r="BB103" s="546"/>
      <c r="BC103" s="546"/>
      <c r="BD103" s="546"/>
      <c r="BE103" s="546"/>
      <c r="BF103" s="546"/>
      <c r="BG103" s="546"/>
      <c r="BH103" s="546"/>
      <c r="BI103" s="546"/>
      <c r="BJ103" s="546"/>
      <c r="BK103" s="546"/>
      <c r="BL103" s="546"/>
      <c r="BM103" s="546"/>
      <c r="BN103" s="546"/>
      <c r="BO103" s="546"/>
      <c r="BP103" s="546"/>
      <c r="BQ103" s="546"/>
      <c r="BR103" s="546"/>
      <c r="BS103" s="546"/>
      <c r="BT103" s="546"/>
      <c r="BU103" s="546"/>
      <c r="BV103" s="547"/>
      <c r="BW103" s="547"/>
      <c r="BX103" s="547"/>
      <c r="BY103" s="547"/>
      <c r="BZ103" s="547"/>
      <c r="CA103" s="547"/>
      <c r="CB103" s="547"/>
      <c r="CC103" s="547"/>
      <c r="CD103" s="547"/>
      <c r="CE103" s="547"/>
    </row>
    <row r="104" spans="1:184" s="1969" customFormat="1" ht="15" customHeight="1">
      <c r="A104" s="1870"/>
      <c r="B104" s="545"/>
      <c r="C104" s="545"/>
      <c r="D104" s="2150"/>
      <c r="E104" s="2152" t="s">
        <v>1422</v>
      </c>
      <c r="F104" s="2153"/>
      <c r="G104" s="2154"/>
      <c r="H104" s="2155" t="str">
        <f>IF(A103="","",INDEX(DIFFERENTIATION_UNMERGE_AREA,MATCH(A103,DIFFERENTIATION_ID_DIFF,0)))</f>
        <v/>
      </c>
      <c r="I104" s="2155"/>
      <c r="J104" s="2155"/>
      <c r="K104" s="2155"/>
      <c r="L104" s="2155"/>
      <c r="M104" s="2155"/>
      <c r="N104" s="2155"/>
      <c r="O104" s="2155"/>
      <c r="P104" s="2155"/>
      <c r="Q104" s="2155"/>
      <c r="R104" s="2155"/>
      <c r="S104" s="1871"/>
      <c r="T104" s="1872"/>
      <c r="U104" s="546"/>
      <c r="V104" s="546"/>
      <c r="W104" s="547"/>
      <c r="X104" s="547"/>
      <c r="Y104" s="547"/>
      <c r="Z104" s="547"/>
      <c r="AA104" s="548"/>
      <c r="AB104" s="549"/>
      <c r="AC104" s="2164"/>
      <c r="AD104" s="550"/>
      <c r="AE104" s="551"/>
      <c r="AF104" s="551"/>
      <c r="AG104" s="552"/>
      <c r="AH104" s="553"/>
      <c r="AI104" s="546"/>
      <c r="AJ104" s="546"/>
      <c r="AK104" s="546"/>
      <c r="AL104" s="546"/>
      <c r="AM104" s="546"/>
      <c r="AN104" s="546"/>
      <c r="AO104" s="546"/>
      <c r="AP104" s="546"/>
      <c r="AQ104" s="546"/>
      <c r="AR104" s="546"/>
      <c r="AS104" s="546"/>
      <c r="AT104" s="546"/>
      <c r="AU104" s="546"/>
      <c r="AV104" s="546"/>
      <c r="AW104" s="546"/>
      <c r="AX104" s="546"/>
      <c r="AY104" s="546"/>
      <c r="AZ104" s="546"/>
      <c r="BA104" s="546"/>
      <c r="BB104" s="546"/>
      <c r="BC104" s="546"/>
      <c r="BD104" s="546"/>
      <c r="BE104" s="546"/>
      <c r="BF104" s="546"/>
      <c r="BG104" s="546"/>
      <c r="BH104" s="546"/>
      <c r="BI104" s="546"/>
      <c r="BJ104" s="546"/>
      <c r="BK104" s="546"/>
      <c r="BL104" s="546"/>
      <c r="BM104" s="546"/>
      <c r="BN104" s="546"/>
      <c r="BO104" s="546"/>
      <c r="BP104" s="546"/>
      <c r="BQ104" s="546"/>
      <c r="BR104" s="546"/>
      <c r="BS104" s="546"/>
      <c r="BT104" s="546"/>
      <c r="BU104" s="546"/>
      <c r="BV104" s="547"/>
      <c r="BW104" s="547"/>
      <c r="BX104" s="547"/>
      <c r="BY104" s="547"/>
      <c r="BZ104" s="547"/>
      <c r="CA104" s="547"/>
      <c r="CB104" s="547"/>
      <c r="CC104" s="547"/>
      <c r="CD104" s="547"/>
      <c r="CE104" s="547"/>
    </row>
    <row r="105" spans="1:184" s="1969" customFormat="1" ht="15" customHeight="1">
      <c r="A105" s="1870"/>
      <c r="B105" s="545"/>
      <c r="C105" s="545"/>
      <c r="D105" s="2150"/>
      <c r="E105" s="2152" t="s">
        <v>1423</v>
      </c>
      <c r="F105" s="2153"/>
      <c r="G105" s="2154"/>
      <c r="H105" s="2155" t="str">
        <f>IF(A103="","",INDEX(DIFFERENTIATION_UNMERGE_SYSTEM,MATCH(A103,DIFFERENTIATION_ID_DIFF,0)))</f>
        <v/>
      </c>
      <c r="I105" s="2155"/>
      <c r="J105" s="2155"/>
      <c r="K105" s="2155"/>
      <c r="L105" s="2155"/>
      <c r="M105" s="2155"/>
      <c r="N105" s="2155"/>
      <c r="O105" s="2155"/>
      <c r="P105" s="2155"/>
      <c r="Q105" s="2155"/>
      <c r="R105" s="2155"/>
      <c r="S105" s="1871"/>
      <c r="T105" s="1872"/>
      <c r="U105" s="546"/>
      <c r="V105" s="546"/>
      <c r="W105" s="547"/>
      <c r="X105" s="547"/>
      <c r="Y105" s="547"/>
      <c r="Z105" s="547"/>
      <c r="AA105" s="548"/>
      <c r="AB105" s="549"/>
      <c r="AC105" s="2164"/>
      <c r="AD105" s="550"/>
      <c r="AE105" s="551"/>
      <c r="AF105" s="551"/>
      <c r="AG105" s="552"/>
      <c r="AH105" s="553"/>
      <c r="AI105" s="546"/>
      <c r="AJ105" s="546"/>
      <c r="AK105" s="546"/>
      <c r="AL105" s="546"/>
      <c r="AM105" s="546"/>
      <c r="AN105" s="546"/>
      <c r="AO105" s="546"/>
      <c r="AP105" s="546"/>
      <c r="AQ105" s="546"/>
      <c r="AR105" s="546"/>
      <c r="AS105" s="546"/>
      <c r="AT105" s="546"/>
      <c r="AU105" s="546"/>
      <c r="AV105" s="546"/>
      <c r="AW105" s="546"/>
      <c r="AX105" s="546"/>
      <c r="AY105" s="546"/>
      <c r="AZ105" s="546"/>
      <c r="BA105" s="546"/>
      <c r="BB105" s="546"/>
      <c r="BC105" s="546"/>
      <c r="BD105" s="546"/>
      <c r="BE105" s="546"/>
      <c r="BF105" s="546"/>
      <c r="BG105" s="546"/>
      <c r="BH105" s="546"/>
      <c r="BI105" s="546"/>
      <c r="BJ105" s="546"/>
      <c r="BK105" s="546"/>
      <c r="BL105" s="546"/>
      <c r="BM105" s="546"/>
      <c r="BN105" s="546"/>
      <c r="BO105" s="546"/>
      <c r="BP105" s="546"/>
      <c r="BQ105" s="546"/>
      <c r="BR105" s="546"/>
      <c r="BS105" s="546"/>
      <c r="BT105" s="546"/>
      <c r="BU105" s="546"/>
      <c r="BV105" s="547"/>
      <c r="BW105" s="547"/>
      <c r="BX105" s="547"/>
      <c r="BY105" s="547"/>
      <c r="BZ105" s="547"/>
      <c r="CA105" s="547"/>
      <c r="CB105" s="547"/>
      <c r="CC105" s="547"/>
      <c r="CD105" s="547"/>
      <c r="CE105" s="547"/>
    </row>
    <row r="106" spans="1:184" s="1969" customFormat="1" ht="24.75" customHeight="1">
      <c r="A106" s="554"/>
      <c r="B106" s="352"/>
      <c r="C106" s="347"/>
      <c r="D106" s="2150"/>
      <c r="E106" s="2170" t="s">
        <v>1424</v>
      </c>
      <c r="F106" s="2170"/>
      <c r="G106" s="2170"/>
      <c r="H106" s="2170"/>
      <c r="I106" s="2170"/>
      <c r="J106" s="2170"/>
      <c r="K106" s="2170"/>
      <c r="L106" s="2170"/>
      <c r="M106" s="2170"/>
      <c r="N106" s="2170"/>
      <c r="O106" s="2170"/>
      <c r="P106" s="2170"/>
      <c r="Q106" s="1876">
        <f>SUMIF(T107:T108,"i",Q107:Q108)</f>
        <v>0</v>
      </c>
      <c r="R106" s="1877"/>
      <c r="S106" s="1878" t="s">
        <v>1425</v>
      </c>
      <c r="T106" s="630" t="s">
        <v>1426</v>
      </c>
      <c r="U106" s="2143">
        <v>1</v>
      </c>
      <c r="V106" s="2143" t="s">
        <v>1427</v>
      </c>
      <c r="W106" s="352"/>
      <c r="X106" s="352"/>
      <c r="Y106" s="352"/>
      <c r="Z106" s="352"/>
      <c r="AA106" s="439"/>
      <c r="AB106" s="352"/>
      <c r="AC106" s="2164"/>
      <c r="AD106" s="550"/>
      <c r="AE106" s="352"/>
      <c r="AF106" s="352"/>
      <c r="AG106" s="439"/>
      <c r="AH106" s="439"/>
      <c r="AI106" s="439"/>
      <c r="AJ106" s="439"/>
      <c r="AK106" s="439"/>
      <c r="AL106" s="439"/>
      <c r="AM106" s="439"/>
      <c r="AN106" s="439"/>
      <c r="AO106" s="439"/>
      <c r="AP106" s="439"/>
      <c r="AQ106" s="439"/>
      <c r="AR106" s="439"/>
      <c r="AS106" s="439"/>
      <c r="AT106" s="439"/>
      <c r="AU106" s="439"/>
      <c r="AV106" s="439"/>
      <c r="AW106" s="439"/>
      <c r="AX106" s="439"/>
      <c r="AY106" s="439"/>
      <c r="AZ106" s="439"/>
      <c r="BA106" s="439"/>
      <c r="BB106" s="439"/>
      <c r="BC106" s="439"/>
      <c r="BD106" s="439"/>
      <c r="BE106" s="439"/>
      <c r="BF106" s="439"/>
      <c r="BG106" s="439"/>
      <c r="BH106" s="439"/>
      <c r="BI106" s="439"/>
      <c r="BJ106" s="439"/>
      <c r="BK106" s="439"/>
      <c r="BL106" s="439"/>
      <c r="BM106" s="439"/>
      <c r="BN106" s="439"/>
      <c r="BO106" s="439"/>
      <c r="BP106" s="439"/>
      <c r="BQ106" s="439"/>
      <c r="BR106" s="439"/>
      <c r="BS106" s="439"/>
      <c r="BT106" s="439"/>
      <c r="BU106" s="439"/>
      <c r="BV106" s="352"/>
      <c r="BW106" s="352"/>
      <c r="BX106" s="352"/>
      <c r="BY106" s="352"/>
      <c r="BZ106" s="352"/>
      <c r="CA106" s="352"/>
      <c r="CB106" s="352"/>
      <c r="CC106" s="352"/>
      <c r="CD106" s="352"/>
      <c r="CE106" s="352"/>
    </row>
    <row r="107" spans="1:184" s="1969" customFormat="1" ht="11.25" hidden="1" customHeight="1">
      <c r="A107" s="800"/>
      <c r="B107" s="439"/>
      <c r="C107" s="439"/>
      <c r="D107" s="2150"/>
      <c r="E107" s="1879"/>
      <c r="F107" s="556">
        <v>0</v>
      </c>
      <c r="G107" s="1879"/>
      <c r="H107" s="1879"/>
      <c r="I107" s="1879"/>
      <c r="J107" s="1879"/>
      <c r="K107" s="1879"/>
      <c r="L107" s="1879"/>
      <c r="M107" s="1879"/>
      <c r="N107" s="1879"/>
      <c r="O107" s="1879"/>
      <c r="P107" s="1879"/>
      <c r="Q107" s="1879"/>
      <c r="R107" s="1879"/>
      <c r="S107" s="1880"/>
      <c r="T107" s="1881"/>
      <c r="U107" s="2143"/>
      <c r="V107" s="2143"/>
      <c r="W107" s="439"/>
      <c r="X107" s="439"/>
      <c r="Y107" s="439"/>
      <c r="Z107" s="439"/>
      <c r="AA107" s="439"/>
      <c r="AB107" s="352"/>
      <c r="AC107" s="2164"/>
      <c r="AD107" s="550"/>
      <c r="AE107" s="352"/>
      <c r="AF107" s="352"/>
      <c r="AG107" s="439"/>
      <c r="AH107" s="439"/>
      <c r="AI107" s="439"/>
      <c r="AJ107" s="439"/>
      <c r="AK107" s="439"/>
      <c r="AL107" s="439"/>
      <c r="AM107" s="439"/>
      <c r="AN107" s="439"/>
      <c r="AO107" s="439"/>
      <c r="AP107" s="439"/>
      <c r="AQ107" s="439"/>
      <c r="AR107" s="439"/>
      <c r="AS107" s="439"/>
      <c r="AT107" s="439"/>
      <c r="AU107" s="439"/>
      <c r="AV107" s="439"/>
      <c r="AW107" s="439"/>
      <c r="AX107" s="439"/>
      <c r="AY107" s="439"/>
      <c r="AZ107" s="439"/>
      <c r="BA107" s="439"/>
      <c r="BB107" s="439"/>
      <c r="BC107" s="439"/>
      <c r="BD107" s="439"/>
      <c r="BE107" s="439"/>
      <c r="BF107" s="439"/>
      <c r="BG107" s="439"/>
      <c r="BH107" s="439"/>
      <c r="BI107" s="439"/>
      <c r="BJ107" s="439"/>
      <c r="BK107" s="439"/>
      <c r="BL107" s="439"/>
      <c r="BM107" s="439"/>
      <c r="BN107" s="439"/>
      <c r="BO107" s="439"/>
      <c r="BP107" s="439"/>
      <c r="BQ107" s="439"/>
      <c r="BR107" s="439"/>
      <c r="BS107" s="439"/>
      <c r="BT107" s="439"/>
      <c r="BU107" s="439"/>
      <c r="BV107" s="439"/>
      <c r="BW107" s="439"/>
      <c r="BX107" s="439"/>
      <c r="BY107" s="439"/>
      <c r="BZ107" s="439"/>
      <c r="CA107" s="439"/>
      <c r="CB107" s="439"/>
      <c r="CC107" s="439"/>
      <c r="CD107" s="439"/>
      <c r="CE107" s="439"/>
    </row>
    <row r="108" spans="1:184" s="1969" customFormat="1" ht="11.25" customHeight="1">
      <c r="A108" s="554"/>
      <c r="B108" s="352"/>
      <c r="C108" s="347"/>
      <c r="D108" s="2150"/>
      <c r="E108" s="1882" t="s">
        <v>17</v>
      </c>
      <c r="F108" s="1883" t="s">
        <v>17</v>
      </c>
      <c r="G108" s="566" t="s">
        <v>1428</v>
      </c>
      <c r="H108" s="1884" t="s">
        <v>17</v>
      </c>
      <c r="I108" s="567"/>
      <c r="J108" s="567"/>
      <c r="K108" s="567"/>
      <c r="L108" s="567"/>
      <c r="M108" s="567"/>
      <c r="N108" s="567"/>
      <c r="O108" s="567"/>
      <c r="P108" s="567"/>
      <c r="Q108" s="567"/>
      <c r="R108" s="568"/>
      <c r="S108" s="1885"/>
      <c r="T108" s="1881"/>
      <c r="U108" s="2143"/>
      <c r="V108" s="2143"/>
      <c r="W108" s="352"/>
      <c r="X108" s="352"/>
      <c r="Y108" s="352"/>
      <c r="Z108" s="352"/>
      <c r="AA108" s="439"/>
      <c r="AB108" s="352"/>
      <c r="AC108" s="2164"/>
      <c r="AD108" s="550"/>
      <c r="AE108" s="352"/>
      <c r="AF108" s="352"/>
      <c r="AG108" s="439"/>
      <c r="AH108" s="439"/>
      <c r="AI108" s="439"/>
      <c r="AJ108" s="439"/>
      <c r="AK108" s="439"/>
      <c r="AL108" s="439"/>
      <c r="AM108" s="439"/>
      <c r="AN108" s="439"/>
      <c r="AO108" s="439"/>
      <c r="AP108" s="439"/>
      <c r="AQ108" s="439"/>
      <c r="AR108" s="439"/>
      <c r="AS108" s="439"/>
      <c r="AT108" s="439"/>
      <c r="AU108" s="439"/>
      <c r="AV108" s="439"/>
      <c r="AW108" s="439"/>
      <c r="AX108" s="439"/>
      <c r="AY108" s="439"/>
      <c r="AZ108" s="439"/>
      <c r="BA108" s="439"/>
      <c r="BB108" s="439"/>
      <c r="BC108" s="439"/>
      <c r="BD108" s="439"/>
      <c r="BE108" s="439"/>
      <c r="BF108" s="439"/>
      <c r="BG108" s="439"/>
      <c r="BH108" s="439"/>
      <c r="BI108" s="439"/>
      <c r="BJ108" s="439"/>
      <c r="BK108" s="439"/>
      <c r="BL108" s="439"/>
      <c r="BM108" s="439"/>
      <c r="BN108" s="439"/>
      <c r="BO108" s="439"/>
      <c r="BP108" s="439"/>
      <c r="BQ108" s="439"/>
      <c r="BR108" s="439"/>
      <c r="BS108" s="439"/>
      <c r="BT108" s="439"/>
      <c r="BU108" s="439"/>
      <c r="BV108" s="352"/>
      <c r="BW108" s="352"/>
      <c r="BX108" s="352"/>
      <c r="BY108" s="352"/>
      <c r="BZ108" s="352"/>
      <c r="CA108" s="352"/>
      <c r="CB108" s="352"/>
      <c r="CC108" s="352"/>
      <c r="CD108" s="352"/>
      <c r="CE108" s="352"/>
    </row>
    <row r="109" spans="1:184" s="1969" customFormat="1" ht="24.75" customHeight="1">
      <c r="A109" s="554"/>
      <c r="B109" s="352"/>
      <c r="C109" s="347"/>
      <c r="D109" s="2150"/>
      <c r="E109" s="2170" t="s">
        <v>1429</v>
      </c>
      <c r="F109" s="2170"/>
      <c r="G109" s="2170"/>
      <c r="H109" s="2170"/>
      <c r="I109" s="2170"/>
      <c r="J109" s="2170"/>
      <c r="K109" s="2170"/>
      <c r="L109" s="2170"/>
      <c r="M109" s="2170"/>
      <c r="N109" s="2170"/>
      <c r="O109" s="2170"/>
      <c r="P109" s="2170"/>
      <c r="Q109" s="485">
        <f>SUMIF(T110:T111,"i",Q110:Q111)</f>
        <v>0</v>
      </c>
      <c r="R109" s="1877"/>
      <c r="S109" s="795" t="s">
        <v>1430</v>
      </c>
      <c r="T109" s="630" t="s">
        <v>1426</v>
      </c>
      <c r="U109" s="2143">
        <v>1</v>
      </c>
      <c r="V109" s="2143" t="s">
        <v>1427</v>
      </c>
      <c r="W109" s="352"/>
      <c r="X109" s="352"/>
      <c r="Y109" s="352"/>
      <c r="Z109" s="352"/>
      <c r="AA109" s="439"/>
      <c r="AB109" s="352"/>
      <c r="AC109" s="801"/>
      <c r="AD109" s="550"/>
      <c r="AE109" s="352"/>
      <c r="AF109" s="352"/>
      <c r="AG109" s="439"/>
      <c r="AH109" s="439"/>
      <c r="AI109" s="439"/>
      <c r="AJ109" s="439"/>
      <c r="AK109" s="439"/>
      <c r="AL109" s="439"/>
      <c r="AM109" s="439"/>
      <c r="AN109" s="439"/>
      <c r="AO109" s="439"/>
      <c r="AP109" s="439"/>
      <c r="AQ109" s="439"/>
      <c r="AR109" s="439"/>
      <c r="AS109" s="439"/>
      <c r="AT109" s="439"/>
      <c r="AU109" s="439"/>
      <c r="AV109" s="439"/>
      <c r="AW109" s="439"/>
      <c r="AX109" s="439"/>
      <c r="AY109" s="439"/>
      <c r="AZ109" s="439"/>
      <c r="BA109" s="439"/>
      <c r="BB109" s="439"/>
      <c r="BC109" s="439"/>
      <c r="BD109" s="439"/>
      <c r="BE109" s="439"/>
      <c r="BF109" s="439"/>
      <c r="BG109" s="439"/>
      <c r="BH109" s="439"/>
      <c r="BI109" s="439"/>
      <c r="BJ109" s="439"/>
      <c r="BK109" s="439"/>
      <c r="BL109" s="439"/>
      <c r="BM109" s="439"/>
      <c r="BN109" s="439"/>
      <c r="BO109" s="439"/>
      <c r="BP109" s="439"/>
      <c r="BQ109" s="439"/>
      <c r="BR109" s="439"/>
      <c r="BS109" s="439"/>
      <c r="BT109" s="439"/>
      <c r="BU109" s="439"/>
      <c r="BV109" s="352"/>
      <c r="BW109" s="352"/>
      <c r="BX109" s="352"/>
      <c r="BY109" s="352"/>
      <c r="BZ109" s="352"/>
      <c r="CA109" s="352"/>
      <c r="CB109" s="352"/>
      <c r="CC109" s="352"/>
      <c r="CD109" s="352"/>
      <c r="CE109" s="352"/>
    </row>
    <row r="110" spans="1:184" s="1969" customFormat="1" ht="11.25" hidden="1" customHeight="1">
      <c r="A110" s="800"/>
      <c r="B110" s="439"/>
      <c r="C110" s="439"/>
      <c r="D110" s="2150"/>
      <c r="E110" s="1879"/>
      <c r="F110" s="556">
        <v>0</v>
      </c>
      <c r="G110" s="1879"/>
      <c r="H110" s="1879"/>
      <c r="I110" s="1879"/>
      <c r="J110" s="1879"/>
      <c r="K110" s="1879"/>
      <c r="L110" s="1879"/>
      <c r="M110" s="1879"/>
      <c r="N110" s="1879"/>
      <c r="O110" s="1879"/>
      <c r="P110" s="1879"/>
      <c r="Q110" s="1879"/>
      <c r="R110" s="1879"/>
      <c r="S110" s="1880"/>
      <c r="T110" s="1881"/>
      <c r="U110" s="2143"/>
      <c r="V110" s="2143"/>
      <c r="W110" s="439"/>
      <c r="X110" s="439"/>
      <c r="Y110" s="439"/>
      <c r="Z110" s="439"/>
      <c r="AA110" s="439"/>
      <c r="AB110" s="352"/>
      <c r="AC110" s="801"/>
      <c r="AD110" s="550"/>
      <c r="AE110" s="352"/>
      <c r="AF110" s="352"/>
      <c r="AG110" s="439"/>
      <c r="AH110" s="439"/>
      <c r="AI110" s="439"/>
      <c r="AJ110" s="439"/>
      <c r="AK110" s="439"/>
      <c r="AL110" s="439"/>
      <c r="AM110" s="439"/>
      <c r="AN110" s="439"/>
      <c r="AO110" s="439"/>
      <c r="AP110" s="439"/>
      <c r="AQ110" s="439"/>
      <c r="AR110" s="439"/>
      <c r="AS110" s="439"/>
      <c r="AT110" s="439"/>
      <c r="AU110" s="439"/>
      <c r="AV110" s="439"/>
      <c r="AW110" s="439"/>
      <c r="AX110" s="439"/>
      <c r="AY110" s="439"/>
      <c r="AZ110" s="439"/>
      <c r="BA110" s="439"/>
      <c r="BB110" s="439"/>
      <c r="BC110" s="439"/>
      <c r="BD110" s="439"/>
      <c r="BE110" s="439"/>
      <c r="BF110" s="439"/>
      <c r="BG110" s="439"/>
      <c r="BH110" s="439"/>
      <c r="BI110" s="439"/>
      <c r="BJ110" s="439"/>
      <c r="BK110" s="439"/>
      <c r="BL110" s="439"/>
      <c r="BM110" s="439"/>
      <c r="BN110" s="439"/>
      <c r="BO110" s="439"/>
      <c r="BP110" s="439"/>
      <c r="BQ110" s="439"/>
      <c r="BR110" s="439"/>
      <c r="BS110" s="439"/>
      <c r="BT110" s="439"/>
      <c r="BU110" s="439"/>
      <c r="BV110" s="439"/>
      <c r="BW110" s="439"/>
      <c r="BX110" s="439"/>
      <c r="BY110" s="439"/>
      <c r="BZ110" s="439"/>
      <c r="CA110" s="439"/>
      <c r="CB110" s="439"/>
      <c r="CC110" s="439"/>
      <c r="CD110" s="439"/>
      <c r="CE110" s="439"/>
    </row>
    <row r="111" spans="1:184" s="1969" customFormat="1" ht="11.25" customHeight="1">
      <c r="A111" s="554"/>
      <c r="B111" s="352"/>
      <c r="C111" s="347"/>
      <c r="D111" s="2151"/>
      <c r="E111" s="565" t="s">
        <v>17</v>
      </c>
      <c r="F111" s="566" t="s">
        <v>17</v>
      </c>
      <c r="G111" s="566" t="s">
        <v>1428</v>
      </c>
      <c r="H111" s="567" t="s">
        <v>17</v>
      </c>
      <c r="I111" s="567"/>
      <c r="J111" s="567"/>
      <c r="K111" s="567"/>
      <c r="L111" s="567"/>
      <c r="M111" s="567"/>
      <c r="N111" s="567"/>
      <c r="O111" s="567"/>
      <c r="P111" s="567"/>
      <c r="Q111" s="567"/>
      <c r="R111" s="568"/>
      <c r="S111" s="1885"/>
      <c r="T111" s="1881"/>
      <c r="U111" s="2143"/>
      <c r="V111" s="2143"/>
      <c r="W111" s="352"/>
      <c r="X111" s="352"/>
      <c r="Y111" s="352"/>
      <c r="Z111" s="352"/>
      <c r="AA111" s="439"/>
      <c r="AB111" s="352"/>
      <c r="AC111" s="801"/>
      <c r="AD111" s="550"/>
      <c r="AE111" s="352"/>
      <c r="AF111" s="352"/>
      <c r="AG111" s="439"/>
      <c r="AH111" s="439"/>
      <c r="AI111" s="439"/>
      <c r="AJ111" s="439"/>
      <c r="AK111" s="439"/>
      <c r="AL111" s="439"/>
      <c r="AM111" s="439"/>
      <c r="AN111" s="439"/>
      <c r="AO111" s="439"/>
      <c r="AP111" s="439"/>
      <c r="AQ111" s="439"/>
      <c r="AR111" s="439"/>
      <c r="AS111" s="439"/>
      <c r="AT111" s="439"/>
      <c r="AU111" s="439"/>
      <c r="AV111" s="439"/>
      <c r="AW111" s="439"/>
      <c r="AX111" s="439"/>
      <c r="AY111" s="439"/>
      <c r="AZ111" s="439"/>
      <c r="BA111" s="439"/>
      <c r="BB111" s="439"/>
      <c r="BC111" s="439"/>
      <c r="BD111" s="439"/>
      <c r="BE111" s="439"/>
      <c r="BF111" s="439"/>
      <c r="BG111" s="439"/>
      <c r="BH111" s="439"/>
      <c r="BI111" s="439"/>
      <c r="BJ111" s="439"/>
      <c r="BK111" s="439"/>
      <c r="BL111" s="439"/>
      <c r="BM111" s="439"/>
      <c r="BN111" s="439"/>
      <c r="BO111" s="439"/>
      <c r="BP111" s="439"/>
      <c r="BQ111" s="439"/>
      <c r="BR111" s="439"/>
      <c r="BS111" s="439"/>
      <c r="BT111" s="439"/>
      <c r="BU111" s="439"/>
      <c r="BV111" s="352"/>
      <c r="BW111" s="352"/>
      <c r="BX111" s="352"/>
      <c r="BY111" s="352"/>
      <c r="BZ111" s="352"/>
      <c r="CA111" s="352"/>
      <c r="CB111" s="352"/>
      <c r="CC111" s="352"/>
      <c r="CD111" s="352"/>
      <c r="CE111" s="352"/>
    </row>
    <row r="112" spans="1:184" s="1969" customFormat="1" ht="17.25" customHeight="1"/>
    <row r="113" spans="1:83" s="1737" customFormat="1" ht="11.25" customHeight="1">
      <c r="A113" s="21" t="s">
        <v>1431</v>
      </c>
    </row>
    <row r="114" spans="1:83" s="1969" customFormat="1" ht="17.25" customHeight="1"/>
    <row r="115" spans="1:83" s="1969" customFormat="1" ht="15" customHeight="1">
      <c r="A115" s="1870"/>
      <c r="B115" s="545"/>
      <c r="C115" s="545"/>
      <c r="D115" s="2149" t="s">
        <v>108</v>
      </c>
      <c r="E115" s="2152" t="s">
        <v>104</v>
      </c>
      <c r="F115" s="2153"/>
      <c r="G115" s="2154"/>
      <c r="H115" s="2155" t="str">
        <f>IF(A115="","",INDEX(DIFFERENTIATION_UNMERGE_VD,MATCH(A115,DIFFERENTIATION_ID_DIFF,0)))</f>
        <v/>
      </c>
      <c r="I115" s="2155"/>
      <c r="J115" s="2155"/>
      <c r="K115" s="2155"/>
      <c r="L115" s="2155"/>
      <c r="M115" s="2155"/>
      <c r="N115" s="2155"/>
      <c r="O115" s="2155"/>
      <c r="P115" s="2155"/>
      <c r="Q115" s="2155"/>
      <c r="R115" s="2155"/>
      <c r="S115" s="1871"/>
      <c r="T115" s="1872"/>
      <c r="U115" s="546"/>
      <c r="V115" s="546"/>
      <c r="W115" s="547"/>
      <c r="X115" s="547"/>
      <c r="Y115" s="547"/>
      <c r="Z115" s="547"/>
      <c r="AA115" s="548"/>
      <c r="AB115" s="549"/>
      <c r="AC115" s="2164"/>
      <c r="AD115" s="550"/>
      <c r="AE115" s="551" t="s">
        <v>17</v>
      </c>
      <c r="AF115" s="551"/>
      <c r="AG115" s="552" t="s">
        <v>1421</v>
      </c>
      <c r="AH115" s="553">
        <v>3</v>
      </c>
      <c r="AI115" s="546"/>
      <c r="AJ115" s="546"/>
      <c r="AK115" s="546"/>
      <c r="AL115" s="546"/>
      <c r="AM115" s="546"/>
      <c r="AN115" s="546"/>
      <c r="AO115" s="546"/>
      <c r="AP115" s="546"/>
      <c r="AQ115" s="546"/>
      <c r="AR115" s="546"/>
      <c r="AS115" s="546"/>
      <c r="AT115" s="546"/>
      <c r="AU115" s="546"/>
      <c r="AV115" s="546"/>
      <c r="AW115" s="546"/>
      <c r="AX115" s="546"/>
      <c r="AY115" s="546"/>
      <c r="AZ115" s="546"/>
      <c r="BA115" s="546"/>
      <c r="BB115" s="546"/>
      <c r="BC115" s="546"/>
      <c r="BD115" s="546"/>
      <c r="BE115" s="546"/>
      <c r="BF115" s="546"/>
      <c r="BG115" s="546"/>
      <c r="BH115" s="546"/>
      <c r="BI115" s="546"/>
      <c r="BJ115" s="546"/>
      <c r="BK115" s="546"/>
      <c r="BL115" s="546"/>
      <c r="BM115" s="546"/>
      <c r="BN115" s="546"/>
      <c r="BO115" s="546"/>
      <c r="BP115" s="546"/>
      <c r="BQ115" s="546"/>
      <c r="BR115" s="546"/>
      <c r="BS115" s="546"/>
      <c r="BT115" s="546"/>
      <c r="BU115" s="546"/>
      <c r="BV115" s="547"/>
      <c r="BW115" s="547"/>
      <c r="BX115" s="547"/>
      <c r="BY115" s="547"/>
      <c r="BZ115" s="547"/>
      <c r="CA115" s="547"/>
      <c r="CB115" s="547"/>
      <c r="CC115" s="547"/>
      <c r="CD115" s="547"/>
      <c r="CE115" s="547"/>
    </row>
    <row r="116" spans="1:83" s="1969" customFormat="1" ht="15" customHeight="1">
      <c r="A116" s="1870"/>
      <c r="B116" s="545"/>
      <c r="C116" s="545"/>
      <c r="D116" s="2150"/>
      <c r="E116" s="2152" t="s">
        <v>1422</v>
      </c>
      <c r="F116" s="2153"/>
      <c r="G116" s="2154"/>
      <c r="H116" s="2155" t="str">
        <f>IF(A115="","",INDEX(DIFFERENTIATION_UNMERGE_AREA,MATCH(A115,DIFFERENTIATION_ID_DIFF,0)))</f>
        <v/>
      </c>
      <c r="I116" s="2155"/>
      <c r="J116" s="2155"/>
      <c r="K116" s="2155"/>
      <c r="L116" s="2155"/>
      <c r="M116" s="2155"/>
      <c r="N116" s="2155"/>
      <c r="O116" s="2155"/>
      <c r="P116" s="2155"/>
      <c r="Q116" s="2155"/>
      <c r="R116" s="2155"/>
      <c r="S116" s="1871"/>
      <c r="T116" s="1872"/>
      <c r="U116" s="546"/>
      <c r="V116" s="546"/>
      <c r="W116" s="547"/>
      <c r="X116" s="547"/>
      <c r="Y116" s="547"/>
      <c r="Z116" s="547"/>
      <c r="AA116" s="548"/>
      <c r="AB116" s="549"/>
      <c r="AC116" s="2164"/>
      <c r="AD116" s="550"/>
      <c r="AE116" s="551"/>
      <c r="AF116" s="551"/>
      <c r="AG116" s="552"/>
      <c r="AH116" s="553"/>
      <c r="AI116" s="546"/>
      <c r="AJ116" s="546"/>
      <c r="AK116" s="546"/>
      <c r="AL116" s="546"/>
      <c r="AM116" s="546"/>
      <c r="AN116" s="546"/>
      <c r="AO116" s="546"/>
      <c r="AP116" s="546"/>
      <c r="AQ116" s="546"/>
      <c r="AR116" s="546"/>
      <c r="AS116" s="546"/>
      <c r="AT116" s="546"/>
      <c r="AU116" s="546"/>
      <c r="AV116" s="546"/>
      <c r="AW116" s="546"/>
      <c r="AX116" s="546"/>
      <c r="AY116" s="546"/>
      <c r="AZ116" s="546"/>
      <c r="BA116" s="546"/>
      <c r="BB116" s="546"/>
      <c r="BC116" s="546"/>
      <c r="BD116" s="546"/>
      <c r="BE116" s="546"/>
      <c r="BF116" s="546"/>
      <c r="BG116" s="546"/>
      <c r="BH116" s="546"/>
      <c r="BI116" s="546"/>
      <c r="BJ116" s="546"/>
      <c r="BK116" s="546"/>
      <c r="BL116" s="546"/>
      <c r="BM116" s="546"/>
      <c r="BN116" s="546"/>
      <c r="BO116" s="546"/>
      <c r="BP116" s="546"/>
      <c r="BQ116" s="546"/>
      <c r="BR116" s="546"/>
      <c r="BS116" s="546"/>
      <c r="BT116" s="546"/>
      <c r="BU116" s="546"/>
      <c r="BV116" s="547"/>
      <c r="BW116" s="547"/>
      <c r="BX116" s="547"/>
      <c r="BY116" s="547"/>
      <c r="BZ116" s="547"/>
      <c r="CA116" s="547"/>
      <c r="CB116" s="547"/>
      <c r="CC116" s="547"/>
      <c r="CD116" s="547"/>
      <c r="CE116" s="547"/>
    </row>
    <row r="117" spans="1:83" s="1969" customFormat="1" ht="15" customHeight="1">
      <c r="A117" s="1870"/>
      <c r="B117" s="545"/>
      <c r="C117" s="545"/>
      <c r="D117" s="2150"/>
      <c r="E117" s="2152" t="s">
        <v>1423</v>
      </c>
      <c r="F117" s="2153"/>
      <c r="G117" s="2154"/>
      <c r="H117" s="2155" t="str">
        <f>IF(A115="","",INDEX(DIFFERENTIATION_UNMERGE_SYSTEM,MATCH(A115,DIFFERENTIATION_ID_DIFF,0)))</f>
        <v/>
      </c>
      <c r="I117" s="2155"/>
      <c r="J117" s="2155"/>
      <c r="K117" s="2155"/>
      <c r="L117" s="2155"/>
      <c r="M117" s="2155"/>
      <c r="N117" s="2155"/>
      <c r="O117" s="2155"/>
      <c r="P117" s="2155"/>
      <c r="Q117" s="2155"/>
      <c r="R117" s="2155"/>
      <c r="S117" s="1871"/>
      <c r="T117" s="1872"/>
      <c r="U117" s="546"/>
      <c r="V117" s="546"/>
      <c r="W117" s="547"/>
      <c r="X117" s="547"/>
      <c r="Y117" s="547"/>
      <c r="Z117" s="547"/>
      <c r="AA117" s="548"/>
      <c r="AB117" s="549"/>
      <c r="AC117" s="2164"/>
      <c r="AD117" s="550"/>
      <c r="AE117" s="551"/>
      <c r="AF117" s="551"/>
      <c r="AG117" s="552"/>
      <c r="AH117" s="553"/>
      <c r="AI117" s="546"/>
      <c r="AJ117" s="546"/>
      <c r="AK117" s="546"/>
      <c r="AL117" s="546"/>
      <c r="AM117" s="546"/>
      <c r="AN117" s="546"/>
      <c r="AO117" s="546"/>
      <c r="AP117" s="546"/>
      <c r="AQ117" s="546"/>
      <c r="AR117" s="546"/>
      <c r="AS117" s="546"/>
      <c r="AT117" s="546"/>
      <c r="AU117" s="546"/>
      <c r="AV117" s="546"/>
      <c r="AW117" s="546"/>
      <c r="AX117" s="546"/>
      <c r="AY117" s="546"/>
      <c r="AZ117" s="546"/>
      <c r="BA117" s="546"/>
      <c r="BB117" s="546"/>
      <c r="BC117" s="546"/>
      <c r="BD117" s="546"/>
      <c r="BE117" s="546"/>
      <c r="BF117" s="546"/>
      <c r="BG117" s="546"/>
      <c r="BH117" s="546"/>
      <c r="BI117" s="546"/>
      <c r="BJ117" s="546"/>
      <c r="BK117" s="546"/>
      <c r="BL117" s="546"/>
      <c r="BM117" s="546"/>
      <c r="BN117" s="546"/>
      <c r="BO117" s="546"/>
      <c r="BP117" s="546"/>
      <c r="BQ117" s="546"/>
      <c r="BR117" s="546"/>
      <c r="BS117" s="546"/>
      <c r="BT117" s="546"/>
      <c r="BU117" s="546"/>
      <c r="BV117" s="547"/>
      <c r="BW117" s="547"/>
      <c r="BX117" s="547"/>
      <c r="BY117" s="547"/>
      <c r="BZ117" s="547"/>
      <c r="CA117" s="547"/>
      <c r="CB117" s="547"/>
      <c r="CC117" s="547"/>
      <c r="CD117" s="547"/>
      <c r="CE117" s="547"/>
    </row>
    <row r="118" spans="1:83" s="1969" customFormat="1" ht="24.75" customHeight="1">
      <c r="A118" s="554"/>
      <c r="B118" s="352"/>
      <c r="C118" s="347"/>
      <c r="D118" s="2150"/>
      <c r="E118" s="2170" t="s">
        <v>1424</v>
      </c>
      <c r="F118" s="2170"/>
      <c r="G118" s="2170"/>
      <c r="H118" s="2170"/>
      <c r="I118" s="2170"/>
      <c r="J118" s="2170"/>
      <c r="K118" s="2170"/>
      <c r="L118" s="2170"/>
      <c r="M118" s="2170"/>
      <c r="N118" s="2170"/>
      <c r="O118" s="2170"/>
      <c r="P118" s="2170"/>
      <c r="Q118" s="485">
        <f>SUMIF(T119:T120,"i",Q119:Q120)</f>
        <v>0</v>
      </c>
      <c r="R118" s="1877"/>
      <c r="S118" s="913" t="s">
        <v>1425</v>
      </c>
      <c r="T118" s="630" t="s">
        <v>1426</v>
      </c>
      <c r="U118" s="2143">
        <v>1</v>
      </c>
      <c r="V118" s="2143" t="s">
        <v>1427</v>
      </c>
      <c r="W118" s="352"/>
      <c r="X118" s="352"/>
      <c r="Y118" s="352"/>
      <c r="Z118" s="352"/>
      <c r="AA118" s="439"/>
      <c r="AB118" s="352"/>
      <c r="AC118" s="2164"/>
      <c r="AD118" s="550"/>
      <c r="AE118" s="352"/>
      <c r="AF118" s="352"/>
      <c r="AG118" s="439"/>
      <c r="AH118" s="439"/>
      <c r="AI118" s="439"/>
      <c r="AJ118" s="439"/>
      <c r="AK118" s="439"/>
      <c r="AL118" s="439"/>
      <c r="AM118" s="439"/>
      <c r="AN118" s="439"/>
      <c r="AO118" s="439"/>
      <c r="AP118" s="439"/>
      <c r="AQ118" s="439"/>
      <c r="AR118" s="439"/>
      <c r="AS118" s="439"/>
      <c r="AT118" s="439"/>
      <c r="AU118" s="439"/>
      <c r="AV118" s="439"/>
      <c r="AW118" s="439"/>
      <c r="AX118" s="439"/>
      <c r="AY118" s="439"/>
      <c r="AZ118" s="439"/>
      <c r="BA118" s="439"/>
      <c r="BB118" s="439"/>
      <c r="BC118" s="439"/>
      <c r="BD118" s="439"/>
      <c r="BE118" s="439"/>
      <c r="BF118" s="439"/>
      <c r="BG118" s="439"/>
      <c r="BH118" s="439"/>
      <c r="BI118" s="439"/>
      <c r="BJ118" s="439"/>
      <c r="BK118" s="439"/>
      <c r="BL118" s="439"/>
      <c r="BM118" s="439"/>
      <c r="BN118" s="439"/>
      <c r="BO118" s="439"/>
      <c r="BP118" s="439"/>
      <c r="BQ118" s="439"/>
      <c r="BR118" s="439"/>
      <c r="BS118" s="439"/>
      <c r="BT118" s="439"/>
      <c r="BU118" s="439"/>
      <c r="BV118" s="352"/>
      <c r="BW118" s="352"/>
      <c r="BX118" s="352"/>
      <c r="BY118" s="352"/>
      <c r="BZ118" s="352"/>
      <c r="CA118" s="352"/>
      <c r="CB118" s="352"/>
      <c r="CC118" s="352"/>
      <c r="CD118" s="352"/>
      <c r="CE118" s="352"/>
    </row>
    <row r="119" spans="1:83" s="1969" customFormat="1" ht="11.25" hidden="1" customHeight="1">
      <c r="A119" s="912"/>
      <c r="B119" s="439"/>
      <c r="C119" s="439"/>
      <c r="D119" s="2150"/>
      <c r="E119" s="1879"/>
      <c r="F119" s="556">
        <v>0</v>
      </c>
      <c r="G119" s="1879"/>
      <c r="H119" s="1879"/>
      <c r="I119" s="1879"/>
      <c r="J119" s="1879"/>
      <c r="K119" s="1879"/>
      <c r="L119" s="1879"/>
      <c r="M119" s="1879"/>
      <c r="N119" s="1879"/>
      <c r="O119" s="1879"/>
      <c r="P119" s="1879"/>
      <c r="Q119" s="1879"/>
      <c r="R119" s="1879"/>
      <c r="S119" s="1880"/>
      <c r="T119" s="1881"/>
      <c r="U119" s="2143"/>
      <c r="V119" s="2143"/>
      <c r="W119" s="439"/>
      <c r="X119" s="439"/>
      <c r="Y119" s="439"/>
      <c r="Z119" s="439"/>
      <c r="AA119" s="439"/>
      <c r="AB119" s="352"/>
      <c r="AC119" s="2164"/>
      <c r="AD119" s="550"/>
      <c r="AE119" s="352"/>
      <c r="AF119" s="352"/>
      <c r="AG119" s="439"/>
      <c r="AH119" s="439"/>
      <c r="AI119" s="439"/>
      <c r="AJ119" s="439"/>
      <c r="AK119" s="439"/>
      <c r="AL119" s="439"/>
      <c r="AM119" s="439"/>
      <c r="AN119" s="439"/>
      <c r="AO119" s="439"/>
      <c r="AP119" s="439"/>
      <c r="AQ119" s="439"/>
      <c r="AR119" s="439"/>
      <c r="AS119" s="439"/>
      <c r="AT119" s="439"/>
      <c r="AU119" s="439"/>
      <c r="AV119" s="439"/>
      <c r="AW119" s="439"/>
      <c r="AX119" s="439"/>
      <c r="AY119" s="439"/>
      <c r="AZ119" s="439"/>
      <c r="BA119" s="439"/>
      <c r="BB119" s="439"/>
      <c r="BC119" s="439"/>
      <c r="BD119" s="439"/>
      <c r="BE119" s="439"/>
      <c r="BF119" s="439"/>
      <c r="BG119" s="439"/>
      <c r="BH119" s="439"/>
      <c r="BI119" s="439"/>
      <c r="BJ119" s="439"/>
      <c r="BK119" s="439"/>
      <c r="BL119" s="439"/>
      <c r="BM119" s="439"/>
      <c r="BN119" s="439"/>
      <c r="BO119" s="439"/>
      <c r="BP119" s="439"/>
      <c r="BQ119" s="439"/>
      <c r="BR119" s="439"/>
      <c r="BS119" s="439"/>
      <c r="BT119" s="439"/>
      <c r="BU119" s="439"/>
      <c r="BV119" s="439"/>
      <c r="BW119" s="439"/>
      <c r="BX119" s="439"/>
      <c r="BY119" s="439"/>
      <c r="BZ119" s="439"/>
      <c r="CA119" s="439"/>
      <c r="CB119" s="439"/>
      <c r="CC119" s="439"/>
      <c r="CD119" s="439"/>
      <c r="CE119" s="439"/>
    </row>
    <row r="120" spans="1:83" s="1969" customFormat="1" ht="11.25" customHeight="1">
      <c r="A120" s="554"/>
      <c r="B120" s="352"/>
      <c r="C120" s="347"/>
      <c r="D120" s="2150"/>
      <c r="E120" s="565" t="s">
        <v>17</v>
      </c>
      <c r="F120" s="566" t="s">
        <v>17</v>
      </c>
      <c r="G120" s="566" t="s">
        <v>1428</v>
      </c>
      <c r="H120" s="567" t="s">
        <v>17</v>
      </c>
      <c r="I120" s="567"/>
      <c r="J120" s="567"/>
      <c r="K120" s="567"/>
      <c r="L120" s="567"/>
      <c r="M120" s="567"/>
      <c r="N120" s="567"/>
      <c r="O120" s="567"/>
      <c r="P120" s="567"/>
      <c r="Q120" s="567"/>
      <c r="R120" s="568"/>
      <c r="S120" s="1885"/>
      <c r="T120" s="1881"/>
      <c r="U120" s="2143"/>
      <c r="V120" s="2143"/>
      <c r="W120" s="352"/>
      <c r="X120" s="352"/>
      <c r="Y120" s="352"/>
      <c r="Z120" s="352"/>
      <c r="AA120" s="439"/>
      <c r="AB120" s="352"/>
      <c r="AC120" s="2164"/>
      <c r="AD120" s="550"/>
      <c r="AE120" s="352"/>
      <c r="AF120" s="352"/>
      <c r="AG120" s="439"/>
      <c r="AH120" s="439"/>
      <c r="AI120" s="439"/>
      <c r="AJ120" s="439"/>
      <c r="AK120" s="439"/>
      <c r="AL120" s="439"/>
      <c r="AM120" s="439"/>
      <c r="AN120" s="439"/>
      <c r="AO120" s="439"/>
      <c r="AP120" s="439"/>
      <c r="AQ120" s="439"/>
      <c r="AR120" s="439"/>
      <c r="AS120" s="439"/>
      <c r="AT120" s="439"/>
      <c r="AU120" s="439"/>
      <c r="AV120" s="439"/>
      <c r="AW120" s="439"/>
      <c r="AX120" s="439"/>
      <c r="AY120" s="439"/>
      <c r="AZ120" s="439"/>
      <c r="BA120" s="439"/>
      <c r="BB120" s="439"/>
      <c r="BC120" s="439"/>
      <c r="BD120" s="439"/>
      <c r="BE120" s="439"/>
      <c r="BF120" s="439"/>
      <c r="BG120" s="439"/>
      <c r="BH120" s="439"/>
      <c r="BI120" s="439"/>
      <c r="BJ120" s="439"/>
      <c r="BK120" s="439"/>
      <c r="BL120" s="439"/>
      <c r="BM120" s="439"/>
      <c r="BN120" s="439"/>
      <c r="BO120" s="439"/>
      <c r="BP120" s="439"/>
      <c r="BQ120" s="439"/>
      <c r="BR120" s="439"/>
      <c r="BS120" s="439"/>
      <c r="BT120" s="439"/>
      <c r="BU120" s="439"/>
      <c r="BV120" s="352"/>
      <c r="BW120" s="352"/>
      <c r="BX120" s="352"/>
      <c r="BY120" s="352"/>
      <c r="BZ120" s="352"/>
      <c r="CA120" s="352"/>
      <c r="CB120" s="352"/>
      <c r="CC120" s="352"/>
      <c r="CD120" s="352"/>
      <c r="CE120" s="352"/>
    </row>
    <row r="121" spans="1:83" s="1758" customFormat="1" ht="5.25" hidden="1" customHeight="1">
      <c r="A121" s="912"/>
      <c r="B121" s="439"/>
      <c r="C121" s="439"/>
      <c r="D121" s="2150"/>
      <c r="E121" s="1886"/>
      <c r="F121" s="1886"/>
      <c r="G121" s="1886"/>
      <c r="H121" s="1886"/>
      <c r="I121" s="1886"/>
      <c r="J121" s="1886"/>
      <c r="K121" s="1886"/>
      <c r="L121" s="1886"/>
      <c r="M121" s="1886"/>
      <c r="N121" s="1886"/>
      <c r="O121" s="1886"/>
      <c r="P121" s="1886"/>
      <c r="Q121" s="1887"/>
      <c r="R121" s="1888"/>
      <c r="S121" s="932"/>
      <c r="T121" s="630" t="s">
        <v>1426</v>
      </c>
      <c r="U121" s="2143">
        <v>1</v>
      </c>
      <c r="V121" s="2143" t="s">
        <v>1427</v>
      </c>
      <c r="W121" s="439"/>
      <c r="X121" s="439"/>
      <c r="Y121" s="439"/>
      <c r="Z121" s="439"/>
      <c r="AA121" s="439"/>
      <c r="AB121" s="439"/>
      <c r="AC121" s="930"/>
      <c r="AD121" s="931"/>
      <c r="AE121" s="439"/>
      <c r="AF121" s="439"/>
      <c r="AG121" s="439"/>
      <c r="AH121" s="439"/>
      <c r="AI121" s="439"/>
      <c r="AJ121" s="439"/>
      <c r="AK121" s="439"/>
      <c r="AL121" s="439"/>
      <c r="AM121" s="439"/>
      <c r="AN121" s="439"/>
      <c r="AO121" s="439"/>
      <c r="AP121" s="439"/>
      <c r="AQ121" s="439"/>
      <c r="AR121" s="439"/>
      <c r="AS121" s="439"/>
      <c r="AT121" s="439"/>
      <c r="AU121" s="439"/>
      <c r="AV121" s="439"/>
      <c r="AW121" s="439"/>
      <c r="AX121" s="439"/>
      <c r="AY121" s="439"/>
      <c r="AZ121" s="439"/>
      <c r="BA121" s="439"/>
      <c r="BB121" s="439"/>
      <c r="BC121" s="439"/>
      <c r="BD121" s="439"/>
      <c r="BE121" s="439"/>
      <c r="BF121" s="439"/>
      <c r="BG121" s="439"/>
      <c r="BH121" s="439"/>
      <c r="BI121" s="439"/>
      <c r="BJ121" s="439"/>
      <c r="BK121" s="439"/>
      <c r="BL121" s="439"/>
      <c r="BM121" s="439"/>
      <c r="BN121" s="439"/>
      <c r="BO121" s="439"/>
      <c r="BP121" s="439"/>
      <c r="BQ121" s="439"/>
      <c r="BR121" s="439"/>
      <c r="BS121" s="439"/>
      <c r="BT121" s="439"/>
      <c r="BU121" s="439"/>
      <c r="BV121" s="439"/>
      <c r="BW121" s="439"/>
      <c r="BX121" s="439"/>
      <c r="BY121" s="439"/>
      <c r="BZ121" s="439"/>
      <c r="CA121" s="439"/>
      <c r="CB121" s="439"/>
      <c r="CC121" s="439"/>
      <c r="CD121" s="439"/>
      <c r="CE121" s="439"/>
    </row>
    <row r="122" spans="1:83" s="1758" customFormat="1" ht="5.25" hidden="1" customHeight="1">
      <c r="A122" s="912"/>
      <c r="B122" s="439"/>
      <c r="C122" s="439"/>
      <c r="D122" s="2150"/>
      <c r="E122" s="556"/>
      <c r="F122" s="556"/>
      <c r="G122" s="556"/>
      <c r="H122" s="556"/>
      <c r="I122" s="556"/>
      <c r="J122" s="556"/>
      <c r="K122" s="556"/>
      <c r="L122" s="556"/>
      <c r="M122" s="556"/>
      <c r="N122" s="556"/>
      <c r="O122" s="556"/>
      <c r="P122" s="556"/>
      <c r="Q122" s="556"/>
      <c r="R122" s="556"/>
      <c r="S122" s="557"/>
      <c r="T122" s="631"/>
      <c r="U122" s="2143"/>
      <c r="V122" s="2143"/>
      <c r="W122" s="439"/>
      <c r="X122" s="439"/>
      <c r="Y122" s="439"/>
      <c r="Z122" s="439"/>
      <c r="AA122" s="439"/>
      <c r="AB122" s="439"/>
      <c r="AC122" s="930"/>
      <c r="AD122" s="931"/>
      <c r="AE122" s="439"/>
      <c r="AF122" s="439"/>
      <c r="AG122" s="439"/>
      <c r="AH122" s="439"/>
      <c r="AI122" s="439"/>
      <c r="AJ122" s="439"/>
      <c r="AK122" s="439"/>
      <c r="AL122" s="439"/>
      <c r="AM122" s="439"/>
      <c r="AN122" s="439"/>
      <c r="AO122" s="439"/>
      <c r="AP122" s="439"/>
      <c r="AQ122" s="439"/>
      <c r="AR122" s="439"/>
      <c r="AS122" s="439"/>
      <c r="AT122" s="439"/>
      <c r="AU122" s="439"/>
      <c r="AV122" s="439"/>
      <c r="AW122" s="439"/>
      <c r="AX122" s="439"/>
      <c r="AY122" s="439"/>
      <c r="AZ122" s="439"/>
      <c r="BA122" s="439"/>
      <c r="BB122" s="439"/>
      <c r="BC122" s="439"/>
      <c r="BD122" s="439"/>
      <c r="BE122" s="439"/>
      <c r="BF122" s="439"/>
      <c r="BG122" s="439"/>
      <c r="BH122" s="439"/>
      <c r="BI122" s="439"/>
      <c r="BJ122" s="439"/>
      <c r="BK122" s="439"/>
      <c r="BL122" s="439"/>
      <c r="BM122" s="439"/>
      <c r="BN122" s="439"/>
      <c r="BO122" s="439"/>
      <c r="BP122" s="439"/>
      <c r="BQ122" s="439"/>
      <c r="BR122" s="439"/>
      <c r="BS122" s="439"/>
      <c r="BT122" s="439"/>
      <c r="BU122" s="439"/>
      <c r="BV122" s="439"/>
      <c r="BW122" s="439"/>
      <c r="BX122" s="439"/>
      <c r="BY122" s="439"/>
      <c r="BZ122" s="439"/>
      <c r="CA122" s="439"/>
      <c r="CB122" s="439"/>
      <c r="CC122" s="439"/>
      <c r="CD122" s="439"/>
      <c r="CE122" s="439"/>
    </row>
    <row r="123" spans="1:83" s="1758" customFormat="1" ht="5.25" hidden="1" customHeight="1">
      <c r="A123" s="912"/>
      <c r="B123" s="439"/>
      <c r="C123" s="439"/>
      <c r="D123" s="2151"/>
      <c r="E123" s="1889"/>
      <c r="F123" s="1890"/>
      <c r="G123" s="1890"/>
      <c r="H123" s="1891"/>
      <c r="I123" s="1891"/>
      <c r="J123" s="1891"/>
      <c r="K123" s="1891"/>
      <c r="L123" s="1891"/>
      <c r="M123" s="1891"/>
      <c r="N123" s="1891"/>
      <c r="O123" s="1891"/>
      <c r="P123" s="1891"/>
      <c r="Q123" s="1891"/>
      <c r="R123" s="1892"/>
      <c r="S123" s="1893"/>
      <c r="T123" s="631"/>
      <c r="U123" s="2143"/>
      <c r="V123" s="2143"/>
      <c r="W123" s="439"/>
      <c r="X123" s="439"/>
      <c r="Y123" s="439"/>
      <c r="Z123" s="439"/>
      <c r="AA123" s="439"/>
      <c r="AB123" s="439"/>
      <c r="AC123" s="930"/>
      <c r="AD123" s="931"/>
      <c r="AE123" s="439"/>
      <c r="AF123" s="439"/>
      <c r="AG123" s="439"/>
      <c r="AH123" s="439"/>
      <c r="AI123" s="439"/>
      <c r="AJ123" s="439"/>
      <c r="AK123" s="439"/>
      <c r="AL123" s="439"/>
      <c r="AM123" s="439"/>
      <c r="AN123" s="439"/>
      <c r="AO123" s="439"/>
      <c r="AP123" s="439"/>
      <c r="AQ123" s="439"/>
      <c r="AR123" s="439"/>
      <c r="AS123" s="439"/>
      <c r="AT123" s="439"/>
      <c r="AU123" s="439"/>
      <c r="AV123" s="439"/>
      <c r="AW123" s="439"/>
      <c r="AX123" s="439"/>
      <c r="AY123" s="439"/>
      <c r="AZ123" s="439"/>
      <c r="BA123" s="439"/>
      <c r="BB123" s="439"/>
      <c r="BC123" s="439"/>
      <c r="BD123" s="439"/>
      <c r="BE123" s="439"/>
      <c r="BF123" s="439"/>
      <c r="BG123" s="439"/>
      <c r="BH123" s="439"/>
      <c r="BI123" s="439"/>
      <c r="BJ123" s="439"/>
      <c r="BK123" s="439"/>
      <c r="BL123" s="439"/>
      <c r="BM123" s="439"/>
      <c r="BN123" s="439"/>
      <c r="BO123" s="439"/>
      <c r="BP123" s="439"/>
      <c r="BQ123" s="439"/>
      <c r="BR123" s="439"/>
      <c r="BS123" s="439"/>
      <c r="BT123" s="439"/>
      <c r="BU123" s="439"/>
      <c r="BV123" s="439"/>
      <c r="BW123" s="439"/>
      <c r="BX123" s="439"/>
      <c r="BY123" s="439"/>
      <c r="BZ123" s="439"/>
      <c r="CA123" s="439"/>
      <c r="CB123" s="439"/>
      <c r="CC123" s="439"/>
      <c r="CD123" s="439"/>
      <c r="CE123" s="439"/>
    </row>
    <row r="124" spans="1:83" s="1969" customFormat="1" ht="17.25" customHeight="1">
      <c r="D124" s="1894"/>
    </row>
    <row r="125" spans="1:83" s="1737" customFormat="1" ht="11.25" customHeight="1">
      <c r="A125" s="21" t="s">
        <v>1432</v>
      </c>
    </row>
    <row r="126" spans="1:83" s="1969" customFormat="1" ht="17.25" customHeight="1"/>
    <row r="127" spans="1:83" s="1969" customFormat="1" ht="45" customHeight="1">
      <c r="A127" s="554"/>
      <c r="B127" s="352"/>
      <c r="C127" s="347"/>
      <c r="D127" s="300"/>
      <c r="E127" s="2165"/>
      <c r="F127" s="2018" t="s">
        <v>108</v>
      </c>
      <c r="G127" s="2168" t="s">
        <v>17</v>
      </c>
      <c r="H127" s="1895"/>
      <c r="I127" s="1896" t="s">
        <v>108</v>
      </c>
      <c r="J127" s="1897" t="s">
        <v>1433</v>
      </c>
      <c r="K127" s="1898" t="s">
        <v>1434</v>
      </c>
      <c r="L127" s="2104" t="s">
        <v>1434</v>
      </c>
      <c r="M127" s="2064"/>
      <c r="N127" s="558" t="s">
        <v>1434</v>
      </c>
      <c r="O127" s="558" t="s">
        <v>1434</v>
      </c>
      <c r="P127" s="558" t="s">
        <v>1434</v>
      </c>
      <c r="Q127" s="1899">
        <f>SUM(Q128:Q130)</f>
        <v>0</v>
      </c>
      <c r="R127" s="559">
        <f>IF(R124=0,0,(Q124/R124)*100)</f>
        <v>0</v>
      </c>
      <c r="S127" s="2076"/>
      <c r="T127" s="630" t="s">
        <v>1426</v>
      </c>
      <c r="U127" s="300"/>
      <c r="V127" s="300"/>
      <c r="AC127" s="300"/>
    </row>
    <row r="128" spans="1:83" s="1969" customFormat="1" ht="11.25" customHeight="1">
      <c r="A128" s="554"/>
      <c r="B128" s="352"/>
      <c r="C128" s="347"/>
      <c r="D128" s="300"/>
      <c r="E128" s="2166"/>
      <c r="F128" s="2018"/>
      <c r="G128" s="2168"/>
      <c r="H128" s="2007"/>
      <c r="I128" s="2146" t="s">
        <v>620</v>
      </c>
      <c r="J128" s="2162"/>
      <c r="K128" s="2163"/>
      <c r="L128" s="1900"/>
      <c r="M128" s="1901" t="s">
        <v>108</v>
      </c>
      <c r="N128" s="1902"/>
      <c r="O128" s="1903"/>
      <c r="P128" s="561"/>
      <c r="Q128" s="1903"/>
      <c r="R128" s="1904">
        <v>0</v>
      </c>
      <c r="S128" s="2076"/>
      <c r="T128" s="630"/>
      <c r="U128" s="300"/>
      <c r="V128" s="300"/>
      <c r="AC128" s="300"/>
    </row>
    <row r="129" spans="1:220" s="1969" customFormat="1" ht="11.25" customHeight="1">
      <c r="A129" s="554"/>
      <c r="B129" s="352"/>
      <c r="C129" s="347"/>
      <c r="D129" s="300"/>
      <c r="E129" s="2166"/>
      <c r="F129" s="2018"/>
      <c r="G129" s="2168"/>
      <c r="H129" s="2007"/>
      <c r="I129" s="2146"/>
      <c r="J129" s="2162"/>
      <c r="K129" s="2148"/>
      <c r="L129" s="1905"/>
      <c r="M129" s="1906"/>
      <c r="N129" s="1907" t="s">
        <v>1435</v>
      </c>
      <c r="O129" s="564"/>
      <c r="P129" s="564"/>
      <c r="Q129" s="564"/>
      <c r="R129" s="1908"/>
      <c r="S129" s="2076"/>
      <c r="T129" s="630"/>
      <c r="U129" s="300"/>
      <c r="V129" s="300"/>
      <c r="AC129" s="300"/>
    </row>
    <row r="130" spans="1:220" s="1969" customFormat="1" ht="11.25" customHeight="1">
      <c r="A130" s="554"/>
      <c r="B130" s="352"/>
      <c r="C130" s="347"/>
      <c r="D130" s="300"/>
      <c r="E130" s="2167"/>
      <c r="F130" s="2018"/>
      <c r="G130" s="2169"/>
      <c r="H130" s="563" t="s">
        <v>17</v>
      </c>
      <c r="I130" s="1906"/>
      <c r="J130" s="564" t="s">
        <v>1436</v>
      </c>
      <c r="K130" s="564"/>
      <c r="L130" s="564"/>
      <c r="M130" s="564"/>
      <c r="N130" s="564"/>
      <c r="O130" s="564"/>
      <c r="P130" s="564"/>
      <c r="Q130" s="564"/>
      <c r="R130" s="1908"/>
      <c r="S130" s="2076"/>
      <c r="T130" s="630"/>
      <c r="U130" s="300"/>
      <c r="V130" s="300"/>
      <c r="AC130" s="300"/>
    </row>
    <row r="131" spans="1:220" s="1969" customFormat="1" ht="17.25" customHeight="1"/>
    <row r="132" spans="1:220" s="1969" customFormat="1" ht="17.25" customHeight="1"/>
    <row r="133" spans="1:220" s="1969" customFormat="1" ht="17.25" customHeight="1"/>
    <row r="135" spans="1:220" s="1969" customFormat="1" ht="11.25" customHeight="1">
      <c r="A135" s="1626"/>
      <c r="B135" s="1034"/>
      <c r="C135" s="347"/>
      <c r="D135" s="300"/>
      <c r="E135" s="1619"/>
      <c r="F135" s="1619"/>
      <c r="G135" s="1619"/>
      <c r="H135" s="2007"/>
      <c r="I135" s="2146" t="s">
        <v>620</v>
      </c>
      <c r="J135" s="2162"/>
      <c r="K135" s="2163"/>
      <c r="L135" s="1900"/>
      <c r="M135" s="560" t="s">
        <v>108</v>
      </c>
      <c r="N135" s="1625"/>
      <c r="O135" s="1903"/>
      <c r="P135" s="561"/>
      <c r="Q135" s="1903"/>
      <c r="R135" s="562">
        <v>0</v>
      </c>
      <c r="S135" s="300"/>
      <c r="T135" s="630"/>
      <c r="U135" s="300"/>
      <c r="V135" s="300"/>
      <c r="AC135" s="300"/>
    </row>
    <row r="136" spans="1:220" s="1969" customFormat="1" ht="11.25" customHeight="1">
      <c r="A136" s="1626"/>
      <c r="B136" s="1034"/>
      <c r="C136" s="347"/>
      <c r="D136" s="300"/>
      <c r="E136" s="1619"/>
      <c r="F136" s="1619"/>
      <c r="G136" s="1619"/>
      <c r="H136" s="2007"/>
      <c r="I136" s="2146"/>
      <c r="J136" s="2162"/>
      <c r="K136" s="2148"/>
      <c r="L136" s="1905"/>
      <c r="M136" s="1906"/>
      <c r="N136" s="564" t="s">
        <v>1435</v>
      </c>
      <c r="O136" s="564"/>
      <c r="P136" s="564"/>
      <c r="Q136" s="564"/>
      <c r="R136" s="1908"/>
      <c r="S136" s="300"/>
      <c r="T136" s="630"/>
      <c r="U136" s="300"/>
      <c r="V136" s="300"/>
      <c r="AC136" s="300"/>
    </row>
    <row r="137" spans="1:220" s="1969" customFormat="1" ht="17.25" customHeight="1"/>
    <row r="138" spans="1:220" s="1969" customFormat="1" ht="11.25" customHeight="1">
      <c r="A138" s="1626"/>
      <c r="B138" s="1034"/>
      <c r="C138" s="347"/>
      <c r="D138" s="300"/>
      <c r="E138" s="1909"/>
      <c r="F138" s="1371"/>
      <c r="G138" s="1371"/>
      <c r="H138" s="1910"/>
      <c r="I138" s="1619"/>
      <c r="J138" s="1621"/>
      <c r="K138" s="1621"/>
      <c r="L138" s="1900"/>
      <c r="M138" s="560" t="s">
        <v>108</v>
      </c>
      <c r="N138" s="1625"/>
      <c r="O138" s="1903"/>
      <c r="P138" s="561"/>
      <c r="Q138" s="1903"/>
      <c r="R138" s="562">
        <v>0</v>
      </c>
      <c r="S138" s="300"/>
      <c r="T138" s="630"/>
      <c r="U138" s="300"/>
      <c r="V138" s="300"/>
      <c r="AC138" s="300"/>
    </row>
    <row r="139" spans="1:220" s="1969" customFormat="1" ht="17.25" customHeight="1"/>
    <row r="140" spans="1:220" s="1737" customFormat="1" ht="17.25" customHeight="1">
      <c r="A140" s="21" t="s">
        <v>1437</v>
      </c>
    </row>
    <row r="141" spans="1:220" s="1969" customFormat="1" ht="17.25" customHeight="1">
      <c r="G141" s="1911"/>
      <c r="H141" s="1911"/>
      <c r="I141" s="1911"/>
      <c r="M141" s="794"/>
      <c r="X141" s="5"/>
      <c r="Y141" s="5"/>
      <c r="Z141" s="5"/>
      <c r="AA141" s="5"/>
      <c r="AB141" s="5"/>
      <c r="AC141" s="5"/>
      <c r="AD141" s="5"/>
      <c r="AE141" s="5"/>
      <c r="AF141" s="5"/>
      <c r="AG141" s="5"/>
      <c r="AH141" s="5"/>
      <c r="AI141" s="5"/>
      <c r="AJ141" s="5"/>
      <c r="AK141" s="5"/>
      <c r="AL141" s="5"/>
      <c r="AM141" s="5"/>
      <c r="AN141" s="5"/>
      <c r="AO141" s="5"/>
      <c r="AP141" s="5"/>
      <c r="AQ141" s="5"/>
      <c r="AR141" s="5"/>
      <c r="AS141" s="5"/>
      <c r="AT141" s="5"/>
      <c r="AU141" s="5"/>
      <c r="AV141" s="5"/>
      <c r="AW141" s="5"/>
      <c r="AX141" s="5"/>
      <c r="AY141" s="5"/>
      <c r="AZ141" s="5"/>
      <c r="BA141" s="5"/>
      <c r="BB141" s="5"/>
      <c r="BC141" s="5"/>
      <c r="BD141" s="5"/>
      <c r="BE141" s="5"/>
      <c r="BF141" s="5"/>
      <c r="BG141" s="5"/>
      <c r="BH141" s="5"/>
      <c r="BI141" s="5"/>
      <c r="BJ141" s="5"/>
      <c r="BK141" s="5"/>
      <c r="BL141" s="5"/>
      <c r="BM141" s="5"/>
      <c r="BN141" s="5"/>
      <c r="BO141" s="5"/>
      <c r="BP141" s="5"/>
      <c r="BQ141" s="5"/>
      <c r="BR141" s="5"/>
      <c r="BS141" s="5"/>
      <c r="BT141" s="5"/>
      <c r="BU141" s="5"/>
      <c r="BV141" s="5"/>
      <c r="BW141" s="5"/>
      <c r="BX141" s="5"/>
      <c r="BY141" s="5"/>
      <c r="BZ141" s="5"/>
      <c r="CA141" s="5"/>
      <c r="CB141" s="5"/>
      <c r="CC141" s="5"/>
      <c r="CD141" s="5"/>
      <c r="CE141" s="5"/>
      <c r="CF141" s="5"/>
      <c r="CG141" s="5"/>
      <c r="CH141" s="5"/>
      <c r="CI141" s="5"/>
      <c r="CJ141" s="5"/>
      <c r="CK141" s="5"/>
      <c r="CL141" s="5"/>
      <c r="CM141" s="5"/>
      <c r="CN141" s="5"/>
      <c r="CO141" s="5"/>
      <c r="CP141" s="5"/>
      <c r="CQ141" s="5"/>
      <c r="CR141" s="5"/>
      <c r="CS141" s="5"/>
      <c r="CT141" s="5"/>
      <c r="CU141" s="5"/>
      <c r="CV141" s="5"/>
      <c r="CW141" s="5"/>
      <c r="CX141" s="5"/>
      <c r="CY141" s="5"/>
      <c r="CZ141" s="5"/>
      <c r="DA141" s="5"/>
      <c r="DB141" s="5"/>
      <c r="DC141" s="5"/>
      <c r="DD141" s="5"/>
      <c r="DE141" s="5"/>
      <c r="DF141" s="5"/>
      <c r="DG141" s="5"/>
      <c r="DH141" s="5"/>
      <c r="DI141" s="5"/>
      <c r="DJ141" s="5"/>
      <c r="DK141" s="5"/>
      <c r="DL141" s="5"/>
      <c r="DM141" s="5"/>
      <c r="DN141" s="5"/>
      <c r="DO141" s="5"/>
      <c r="DP141" s="5"/>
      <c r="DQ141" s="5"/>
      <c r="DR141" s="5"/>
      <c r="DS141" s="5"/>
      <c r="DT141" s="5"/>
      <c r="DU141" s="5"/>
      <c r="DV141" s="5"/>
      <c r="DW141" s="5"/>
      <c r="DX141" s="5"/>
      <c r="DY141" s="5"/>
      <c r="DZ141" s="5"/>
      <c r="EA141" s="5"/>
      <c r="EB141" s="5"/>
      <c r="EC141" s="5"/>
      <c r="ED141" s="5"/>
      <c r="EE141" s="5"/>
      <c r="EF141" s="5"/>
      <c r="EG141" s="5"/>
      <c r="EH141" s="5"/>
      <c r="EI141" s="5"/>
      <c r="EJ141" s="5"/>
      <c r="EK141" s="5"/>
      <c r="EL141" s="5"/>
      <c r="EM141" s="5"/>
      <c r="EN141" s="5"/>
      <c r="EO141" s="5"/>
      <c r="EP141" s="5"/>
      <c r="EQ141" s="5"/>
      <c r="ER141" s="5"/>
      <c r="ES141" s="5"/>
      <c r="ET141" s="5"/>
      <c r="EU141" s="5"/>
      <c r="EV141" s="5"/>
      <c r="EW141" s="5"/>
      <c r="EX141" s="5"/>
      <c r="EY141" s="5"/>
      <c r="EZ141" s="5"/>
      <c r="FA141" s="5"/>
      <c r="FB141" s="5"/>
      <c r="FC141" s="5"/>
      <c r="FD141" s="5"/>
      <c r="FE141" s="5"/>
      <c r="FF141" s="5"/>
      <c r="FG141" s="5"/>
      <c r="FH141" s="5"/>
      <c r="FI141" s="5"/>
      <c r="FJ141" s="5"/>
      <c r="FK141" s="5"/>
      <c r="FL141" s="5"/>
      <c r="FM141" s="5"/>
      <c r="FN141" s="5"/>
      <c r="FO141" s="5"/>
      <c r="FP141" s="5"/>
      <c r="FQ141" s="5"/>
      <c r="FR141" s="5"/>
      <c r="FS141" s="5"/>
      <c r="FT141" s="5"/>
      <c r="FU141" s="5"/>
      <c r="FV141" s="5"/>
      <c r="FW141" s="5"/>
      <c r="FX141" s="5"/>
      <c r="FY141" s="5"/>
      <c r="FZ141" s="5"/>
      <c r="GA141" s="5"/>
      <c r="GB141" s="5"/>
      <c r="GC141" s="5"/>
      <c r="GD141" s="5"/>
      <c r="GE141" s="5"/>
      <c r="GF141" s="5"/>
      <c r="GG141" s="5"/>
      <c r="GH141" s="5"/>
      <c r="GI141" s="5"/>
      <c r="GJ141" s="5"/>
      <c r="GK141" s="5"/>
      <c r="GL141" s="5"/>
      <c r="GM141" s="5"/>
      <c r="GN141" s="5"/>
      <c r="GO141" s="5"/>
      <c r="GP141" s="5"/>
      <c r="GQ141" s="5"/>
      <c r="GR141" s="5"/>
      <c r="GS141" s="5"/>
      <c r="GT141" s="5"/>
      <c r="GU141" s="5"/>
      <c r="GV141" s="5"/>
      <c r="GW141" s="5"/>
      <c r="GX141" s="5"/>
      <c r="GY141" s="5"/>
      <c r="GZ141" s="5"/>
      <c r="HA141" s="5"/>
      <c r="HB141" s="5"/>
      <c r="HC141" s="5"/>
      <c r="HD141" s="5"/>
      <c r="HE141" s="5"/>
      <c r="HF141" s="5"/>
      <c r="HG141" s="5"/>
      <c r="HH141" s="5"/>
      <c r="HI141" s="5"/>
      <c r="HJ141" s="5"/>
      <c r="HK141" s="5"/>
      <c r="HL141" s="5"/>
    </row>
    <row r="142" spans="1:220" s="1933" customFormat="1" ht="17.25" customHeight="1">
      <c r="A142" s="1912"/>
      <c r="C142" s="131"/>
      <c r="D142" s="2144"/>
      <c r="E142" s="2029"/>
      <c r="F142" s="2031"/>
      <c r="G142" s="2034"/>
      <c r="H142" s="2144"/>
      <c r="I142" s="2144">
        <v>1</v>
      </c>
      <c r="J142" s="2173"/>
      <c r="K142" s="2079" t="s">
        <v>62</v>
      </c>
      <c r="L142" s="2018"/>
      <c r="M142" s="2018" t="s">
        <v>108</v>
      </c>
      <c r="N142" s="2171" t="str">
        <f>IF(Z142="","",INDEX(TERRITORY_MR_LIST,MATCH(Z142,TERRITORY_LIST_ID,0)))</f>
        <v/>
      </c>
      <c r="O142" s="2079" t="s">
        <v>62</v>
      </c>
      <c r="P142" s="2018"/>
      <c r="Q142" s="2018" t="s">
        <v>108</v>
      </c>
      <c r="R142" s="2148" t="s">
        <v>17</v>
      </c>
      <c r="S142" s="2017" t="s">
        <v>62</v>
      </c>
      <c r="T142" s="1175"/>
      <c r="U142" s="1175" t="s">
        <v>108</v>
      </c>
      <c r="V142" s="1188" t="s">
        <v>17</v>
      </c>
      <c r="W142" s="130"/>
      <c r="Y142" s="1147"/>
      <c r="Z142" s="1147"/>
      <c r="AA142" s="1147"/>
      <c r="AB142" s="1913"/>
      <c r="AC142" s="1147"/>
      <c r="AD142" s="1913"/>
      <c r="AE142" s="1913"/>
      <c r="AF142" s="1913"/>
      <c r="AG142" s="1913"/>
      <c r="AH142" s="1913"/>
      <c r="AI142" s="1913"/>
      <c r="AJ142" s="1913"/>
      <c r="AK142" s="1913"/>
      <c r="AL142" s="1914"/>
      <c r="AM142" s="1914"/>
      <c r="AN142" s="1913"/>
      <c r="AO142" s="1913"/>
      <c r="AP142" s="1913"/>
      <c r="AQ142" s="1913"/>
    </row>
    <row r="143" spans="1:220" s="1933" customFormat="1" ht="17.25" customHeight="1">
      <c r="A143" s="1912"/>
      <c r="C143" s="245"/>
      <c r="D143" s="2144"/>
      <c r="E143" s="2029"/>
      <c r="F143" s="2032"/>
      <c r="G143" s="2034"/>
      <c r="H143" s="2144"/>
      <c r="I143" s="2144"/>
      <c r="J143" s="2173"/>
      <c r="K143" s="2080"/>
      <c r="L143" s="2018"/>
      <c r="M143" s="2018"/>
      <c r="N143" s="2171"/>
      <c r="O143" s="2080"/>
      <c r="P143" s="2018"/>
      <c r="Q143" s="2018"/>
      <c r="R143" s="2148"/>
      <c r="S143" s="2017"/>
      <c r="T143" s="1915"/>
      <c r="U143" s="1916"/>
      <c r="V143" s="243" t="s">
        <v>1438</v>
      </c>
      <c r="W143" s="1917"/>
      <c r="Y143" s="1140"/>
      <c r="Z143" s="1140"/>
      <c r="AA143" s="1140"/>
      <c r="AB143" s="1918"/>
      <c r="AC143" s="1140"/>
      <c r="AD143" s="1918"/>
      <c r="AE143" s="1918"/>
      <c r="AF143" s="1918"/>
      <c r="AG143" s="1918"/>
      <c r="AH143" s="1918"/>
      <c r="AI143" s="1918"/>
      <c r="AJ143" s="1918"/>
      <c r="AK143" s="1918"/>
    </row>
    <row r="144" spans="1:220" s="1933" customFormat="1" ht="17.25" customHeight="1">
      <c r="A144" s="1912"/>
      <c r="C144" s="245"/>
      <c r="D144" s="2028"/>
      <c r="E144" s="2030"/>
      <c r="F144" s="2032"/>
      <c r="G144" s="2035"/>
      <c r="H144" s="2028"/>
      <c r="I144" s="2028"/>
      <c r="J144" s="2174"/>
      <c r="K144" s="2080"/>
      <c r="L144" s="2028"/>
      <c r="M144" s="2028"/>
      <c r="N144" s="2172"/>
      <c r="O144" s="2022"/>
      <c r="P144" s="1915"/>
      <c r="Q144" s="1916"/>
      <c r="R144" s="243" t="s">
        <v>1439</v>
      </c>
      <c r="S144" s="1919"/>
      <c r="T144" s="1919"/>
      <c r="U144" s="1919"/>
      <c r="V144" s="1919"/>
      <c r="W144" s="1917"/>
      <c r="Y144" s="1140"/>
      <c r="Z144" s="1140"/>
      <c r="AA144" s="1140"/>
      <c r="AB144" s="1918"/>
      <c r="AC144" s="1140"/>
      <c r="AD144" s="1918"/>
      <c r="AE144" s="1918"/>
      <c r="AF144" s="1918"/>
      <c r="AG144" s="1918"/>
      <c r="AH144" s="1918"/>
      <c r="AI144" s="1918"/>
      <c r="AJ144" s="1918"/>
      <c r="AK144" s="1918"/>
    </row>
    <row r="145" spans="1:43" s="1933" customFormat="1" ht="17.25" customHeight="1">
      <c r="A145" s="1912"/>
      <c r="C145" s="245"/>
      <c r="D145" s="2028"/>
      <c r="E145" s="2030"/>
      <c r="F145" s="2032"/>
      <c r="G145" s="2035"/>
      <c r="H145" s="2028"/>
      <c r="I145" s="2028"/>
      <c r="J145" s="2174"/>
      <c r="K145" s="2022"/>
      <c r="L145" s="1915"/>
      <c r="M145" s="1916"/>
      <c r="N145" s="243" t="s">
        <v>1440</v>
      </c>
      <c r="O145" s="1916"/>
      <c r="P145" s="1916"/>
      <c r="Q145" s="1916"/>
      <c r="R145" s="1916"/>
      <c r="S145" s="1919"/>
      <c r="T145" s="1919"/>
      <c r="U145" s="1919"/>
      <c r="V145" s="1919"/>
      <c r="W145" s="1917"/>
      <c r="Y145" s="1140"/>
      <c r="Z145" s="1140"/>
      <c r="AA145" s="1140"/>
      <c r="AB145" s="1918"/>
      <c r="AC145" s="1140"/>
      <c r="AD145" s="1918"/>
      <c r="AE145" s="1918"/>
      <c r="AF145" s="1918"/>
      <c r="AG145" s="1918"/>
      <c r="AH145" s="1918"/>
      <c r="AI145" s="1918"/>
      <c r="AJ145" s="1918"/>
      <c r="AK145" s="1918"/>
    </row>
    <row r="146" spans="1:43" s="1933" customFormat="1" ht="17.25" customHeight="1">
      <c r="A146" s="1912"/>
      <c r="C146" s="245"/>
      <c r="D146" s="2028"/>
      <c r="E146" s="2030"/>
      <c r="F146" s="2033"/>
      <c r="G146" s="2035"/>
      <c r="H146" s="1915"/>
      <c r="I146" s="1916"/>
      <c r="J146" s="243" t="s">
        <v>1441</v>
      </c>
      <c r="K146" s="1916"/>
      <c r="L146" s="1916"/>
      <c r="M146" s="1916"/>
      <c r="N146" s="1916"/>
      <c r="O146" s="1916"/>
      <c r="P146" s="1916"/>
      <c r="Q146" s="1916"/>
      <c r="R146" s="1916"/>
      <c r="S146" s="1919"/>
      <c r="T146" s="1919"/>
      <c r="U146" s="1919"/>
      <c r="V146" s="1919"/>
      <c r="W146" s="1917"/>
      <c r="Y146" s="1140"/>
      <c r="Z146" s="1140"/>
      <c r="AA146" s="1140"/>
      <c r="AB146" s="1918"/>
      <c r="AC146" s="1140"/>
      <c r="AD146" s="1918"/>
      <c r="AE146" s="1918"/>
      <c r="AF146" s="1918"/>
      <c r="AG146" s="1918"/>
      <c r="AH146" s="1918"/>
      <c r="AI146" s="1918"/>
      <c r="AJ146" s="1918"/>
      <c r="AK146" s="1918"/>
    </row>
    <row r="147" spans="1:43" s="1969" customFormat="1" ht="17.25" customHeight="1">
      <c r="G147" s="1911"/>
      <c r="H147" s="1911"/>
      <c r="I147" s="1911"/>
      <c r="M147" s="1371"/>
    </row>
    <row r="148" spans="1:43" s="1933" customFormat="1" ht="17.25" customHeight="1">
      <c r="A148" s="246"/>
      <c r="C148" s="131"/>
      <c r="D148" s="1619"/>
      <c r="E148" s="1920"/>
      <c r="F148" s="1611"/>
      <c r="G148" s="1921"/>
      <c r="H148" s="2144"/>
      <c r="I148" s="2144">
        <v>1</v>
      </c>
      <c r="J148" s="2173"/>
      <c r="K148" s="2079" t="s">
        <v>62</v>
      </c>
      <c r="L148" s="2018"/>
      <c r="M148" s="2018" t="s">
        <v>108</v>
      </c>
      <c r="N148" s="2171" t="str">
        <f>IF(Z148="","",INDEX(TERRITORY_MR_LIST,MATCH(Z148,TERRITORY_LIST_ID,0)))</f>
        <v/>
      </c>
      <c r="O148" s="2079" t="s">
        <v>62</v>
      </c>
      <c r="P148" s="2018"/>
      <c r="Q148" s="2018" t="s">
        <v>108</v>
      </c>
      <c r="R148" s="2148" t="s">
        <v>17</v>
      </c>
      <c r="S148" s="2017" t="s">
        <v>62</v>
      </c>
      <c r="T148" s="1617"/>
      <c r="U148" s="1617" t="s">
        <v>108</v>
      </c>
      <c r="V148" s="1616" t="s">
        <v>17</v>
      </c>
      <c r="W148" s="1614"/>
      <c r="Y148" s="1147"/>
      <c r="Z148" s="1147"/>
      <c r="AA148" s="1147"/>
      <c r="AB148" s="1147"/>
      <c r="AC148" s="1147"/>
      <c r="AD148" s="1147"/>
      <c r="AE148" s="1147"/>
      <c r="AF148" s="1147"/>
      <c r="AG148" s="1147"/>
      <c r="AH148" s="1147"/>
      <c r="AI148" s="1147"/>
      <c r="AJ148" s="1147"/>
      <c r="AK148" s="1147"/>
      <c r="AL148" s="165"/>
      <c r="AM148" s="165"/>
      <c r="AN148" s="1147"/>
      <c r="AO148" s="1147"/>
      <c r="AP148" s="1147"/>
      <c r="AQ148" s="1147"/>
    </row>
    <row r="149" spans="1:43" s="1933" customFormat="1" ht="17.25" customHeight="1">
      <c r="A149" s="246"/>
      <c r="C149" s="245"/>
      <c r="D149" s="1619"/>
      <c r="E149" s="1920"/>
      <c r="F149" s="1611"/>
      <c r="G149" s="1921"/>
      <c r="H149" s="2144"/>
      <c r="I149" s="2144"/>
      <c r="J149" s="2173"/>
      <c r="K149" s="2080"/>
      <c r="L149" s="2018"/>
      <c r="M149" s="2018"/>
      <c r="N149" s="2171"/>
      <c r="O149" s="2080"/>
      <c r="P149" s="2018"/>
      <c r="Q149" s="2018"/>
      <c r="R149" s="2148"/>
      <c r="S149" s="2017"/>
      <c r="T149" s="242"/>
      <c r="U149" s="243"/>
      <c r="V149" s="243" t="s">
        <v>1438</v>
      </c>
      <c r="W149" s="244"/>
      <c r="Y149" s="1140"/>
      <c r="Z149" s="1140"/>
      <c r="AA149" s="1140"/>
      <c r="AB149" s="1140"/>
      <c r="AC149" s="1140"/>
      <c r="AD149" s="1140"/>
      <c r="AE149" s="1140"/>
      <c r="AF149" s="1140"/>
      <c r="AG149" s="1140"/>
      <c r="AH149" s="1140"/>
      <c r="AI149" s="1140"/>
      <c r="AJ149" s="1140"/>
      <c r="AK149" s="1140"/>
    </row>
    <row r="150" spans="1:43" s="1933" customFormat="1" ht="17.25" customHeight="1">
      <c r="A150" s="246"/>
      <c r="C150" s="245"/>
      <c r="D150" s="1619"/>
      <c r="E150" s="1920"/>
      <c r="F150" s="1611"/>
      <c r="G150" s="1921"/>
      <c r="H150" s="2028"/>
      <c r="I150" s="2028"/>
      <c r="J150" s="2174"/>
      <c r="K150" s="2080"/>
      <c r="L150" s="2028"/>
      <c r="M150" s="2028"/>
      <c r="N150" s="2172"/>
      <c r="O150" s="2022"/>
      <c r="P150" s="242"/>
      <c r="Q150" s="243"/>
      <c r="R150" s="243" t="s">
        <v>1439</v>
      </c>
      <c r="S150" s="240"/>
      <c r="T150" s="240"/>
      <c r="U150" s="240"/>
      <c r="V150" s="240"/>
      <c r="W150" s="244"/>
      <c r="Y150" s="1140"/>
      <c r="Z150" s="1140"/>
      <c r="AA150" s="1140"/>
      <c r="AB150" s="1140"/>
      <c r="AC150" s="1140"/>
      <c r="AD150" s="1140"/>
      <c r="AE150" s="1140"/>
      <c r="AF150" s="1140"/>
      <c r="AG150" s="1140"/>
      <c r="AH150" s="1140"/>
      <c r="AI150" s="1140"/>
      <c r="AJ150" s="1140"/>
      <c r="AK150" s="1140"/>
    </row>
    <row r="151" spans="1:43" s="1933" customFormat="1" ht="17.25" customHeight="1">
      <c r="A151" s="246"/>
      <c r="C151" s="245"/>
      <c r="D151" s="1619"/>
      <c r="E151" s="1920"/>
      <c r="F151" s="1611"/>
      <c r="G151" s="1921"/>
      <c r="H151" s="2028"/>
      <c r="I151" s="2028"/>
      <c r="J151" s="2174"/>
      <c r="K151" s="2022"/>
      <c r="L151" s="242"/>
      <c r="M151" s="243"/>
      <c r="N151" s="243" t="s">
        <v>1440</v>
      </c>
      <c r="O151" s="243"/>
      <c r="P151" s="243"/>
      <c r="Q151" s="243"/>
      <c r="R151" s="243"/>
      <c r="S151" s="240"/>
      <c r="T151" s="240"/>
      <c r="U151" s="240"/>
      <c r="V151" s="240"/>
      <c r="W151" s="244"/>
      <c r="Y151" s="1140"/>
      <c r="Z151" s="1140"/>
      <c r="AA151" s="1140"/>
      <c r="AB151" s="1140"/>
      <c r="AC151" s="1140"/>
      <c r="AD151" s="1140"/>
      <c r="AE151" s="1140"/>
      <c r="AF151" s="1140"/>
      <c r="AG151" s="1140"/>
      <c r="AH151" s="1140"/>
      <c r="AI151" s="1140"/>
      <c r="AJ151" s="1140"/>
      <c r="AK151" s="1140"/>
    </row>
    <row r="152" spans="1:43" s="1969" customFormat="1" ht="17.25" customHeight="1">
      <c r="G152" s="1911"/>
      <c r="H152" s="1911"/>
      <c r="I152" s="1911"/>
      <c r="M152" s="1371"/>
    </row>
    <row r="153" spans="1:43" s="1933" customFormat="1" ht="17.25" customHeight="1">
      <c r="A153" s="246"/>
      <c r="C153" s="131"/>
      <c r="D153" s="1619"/>
      <c r="E153" s="1920"/>
      <c r="F153" s="1611"/>
      <c r="G153" s="1921"/>
      <c r="H153" s="1619"/>
      <c r="I153" s="1619"/>
      <c r="J153" s="1922"/>
      <c r="K153" s="1923"/>
      <c r="L153" s="2018"/>
      <c r="M153" s="2018" t="s">
        <v>108</v>
      </c>
      <c r="N153" s="2171" t="str">
        <f>IF(Z153="","",INDEX(TERRITORY_MR_LIST,MATCH(Z153,TERRITORY_LIST_ID,0)))</f>
        <v/>
      </c>
      <c r="O153" s="2079" t="s">
        <v>62</v>
      </c>
      <c r="P153" s="2018"/>
      <c r="Q153" s="2018" t="s">
        <v>108</v>
      </c>
      <c r="R153" s="2148" t="s">
        <v>17</v>
      </c>
      <c r="S153" s="2017" t="s">
        <v>62</v>
      </c>
      <c r="T153" s="1617"/>
      <c r="U153" s="1617" t="s">
        <v>108</v>
      </c>
      <c r="V153" s="1616" t="s">
        <v>17</v>
      </c>
      <c r="W153" s="1614"/>
      <c r="Y153" s="1147"/>
      <c r="Z153" s="1147"/>
      <c r="AA153" s="1147"/>
      <c r="AB153" s="1147"/>
      <c r="AC153" s="1147"/>
      <c r="AD153" s="1147"/>
      <c r="AE153" s="1147"/>
      <c r="AF153" s="1147"/>
      <c r="AG153" s="1147"/>
      <c r="AH153" s="1147"/>
      <c r="AI153" s="1147"/>
      <c r="AJ153" s="1147"/>
      <c r="AK153" s="1147"/>
      <c r="AL153" s="165"/>
      <c r="AM153" s="165"/>
      <c r="AN153" s="1147"/>
      <c r="AO153" s="1147"/>
      <c r="AP153" s="1147"/>
      <c r="AQ153" s="1147"/>
    </row>
    <row r="154" spans="1:43" s="1933" customFormat="1" ht="17.25" customHeight="1">
      <c r="A154" s="246"/>
      <c r="C154" s="245"/>
      <c r="D154" s="1619"/>
      <c r="E154" s="1920"/>
      <c r="F154" s="1611"/>
      <c r="G154" s="1921"/>
      <c r="H154" s="1619"/>
      <c r="I154" s="1619"/>
      <c r="J154" s="1922"/>
      <c r="K154" s="1923"/>
      <c r="L154" s="2018"/>
      <c r="M154" s="2018"/>
      <c r="N154" s="2171"/>
      <c r="O154" s="2080"/>
      <c r="P154" s="2018"/>
      <c r="Q154" s="2018"/>
      <c r="R154" s="2148"/>
      <c r="S154" s="2017"/>
      <c r="T154" s="242"/>
      <c r="U154" s="243"/>
      <c r="V154" s="243" t="s">
        <v>1438</v>
      </c>
      <c r="W154" s="244"/>
      <c r="Y154" s="1140"/>
      <c r="Z154" s="1140"/>
      <c r="AA154" s="1140"/>
      <c r="AB154" s="1140"/>
      <c r="AC154" s="1140"/>
      <c r="AD154" s="1140"/>
      <c r="AE154" s="1140"/>
      <c r="AF154" s="1140"/>
      <c r="AG154" s="1140"/>
      <c r="AH154" s="1140"/>
      <c r="AI154" s="1140"/>
      <c r="AJ154" s="1140"/>
      <c r="AK154" s="1140"/>
    </row>
    <row r="155" spans="1:43" s="1933" customFormat="1" ht="17.25" customHeight="1">
      <c r="A155" s="246"/>
      <c r="C155" s="245"/>
      <c r="D155" s="1619"/>
      <c r="E155" s="1920"/>
      <c r="F155" s="1611"/>
      <c r="G155" s="1921"/>
      <c r="H155" s="1619"/>
      <c r="I155" s="1619"/>
      <c r="J155" s="1922"/>
      <c r="K155" s="1923"/>
      <c r="L155" s="2028"/>
      <c r="M155" s="2028"/>
      <c r="N155" s="2172"/>
      <c r="O155" s="2022"/>
      <c r="P155" s="242"/>
      <c r="Q155" s="243"/>
      <c r="R155" s="243" t="s">
        <v>1439</v>
      </c>
      <c r="S155" s="240"/>
      <c r="T155" s="240"/>
      <c r="U155" s="240"/>
      <c r="V155" s="240"/>
      <c r="W155" s="244"/>
      <c r="Y155" s="1140"/>
      <c r="Z155" s="1140"/>
      <c r="AA155" s="1140"/>
      <c r="AB155" s="1140"/>
      <c r="AC155" s="1140"/>
      <c r="AD155" s="1140"/>
      <c r="AE155" s="1140"/>
      <c r="AF155" s="1140"/>
      <c r="AG155" s="1140"/>
      <c r="AH155" s="1140"/>
      <c r="AI155" s="1140"/>
      <c r="AJ155" s="1140"/>
      <c r="AK155" s="1140"/>
    </row>
    <row r="156" spans="1:43" s="1969" customFormat="1" ht="17.25" customHeight="1">
      <c r="G156" s="1911"/>
      <c r="H156" s="1911"/>
      <c r="I156" s="1911"/>
      <c r="M156" s="1371"/>
    </row>
    <row r="157" spans="1:43" s="1933" customFormat="1" ht="17.25" customHeight="1">
      <c r="A157" s="246"/>
      <c r="C157" s="131"/>
      <c r="D157" s="1619"/>
      <c r="E157" s="1920"/>
      <c r="F157" s="1611"/>
      <c r="G157" s="1921"/>
      <c r="H157" s="1619"/>
      <c r="I157" s="1619"/>
      <c r="J157" s="1922"/>
      <c r="K157" s="1923"/>
      <c r="L157" s="1924"/>
      <c r="M157" s="1924"/>
      <c r="N157" s="1925"/>
      <c r="O157" s="1620"/>
      <c r="P157" s="2018"/>
      <c r="Q157" s="2018" t="s">
        <v>108</v>
      </c>
      <c r="R157" s="2148" t="s">
        <v>17</v>
      </c>
      <c r="S157" s="2017" t="s">
        <v>62</v>
      </c>
      <c r="T157" s="1617"/>
      <c r="U157" s="1617" t="s">
        <v>108</v>
      </c>
      <c r="V157" s="1616" t="s">
        <v>17</v>
      </c>
      <c r="W157" s="1614"/>
      <c r="Y157" s="1147"/>
      <c r="Z157" s="1147"/>
      <c r="AA157" s="1147"/>
      <c r="AB157" s="1147"/>
      <c r="AC157" s="1147"/>
      <c r="AD157" s="1147"/>
      <c r="AE157" s="1147"/>
      <c r="AF157" s="1147"/>
      <c r="AG157" s="1147"/>
      <c r="AH157" s="1147"/>
      <c r="AI157" s="1147"/>
      <c r="AJ157" s="1147"/>
      <c r="AK157" s="1147"/>
      <c r="AL157" s="165"/>
      <c r="AM157" s="165"/>
      <c r="AN157" s="1147"/>
      <c r="AO157" s="1147"/>
      <c r="AP157" s="1147"/>
      <c r="AQ157" s="1147"/>
    </row>
    <row r="158" spans="1:43" s="1933" customFormat="1" ht="17.25" customHeight="1">
      <c r="A158" s="246"/>
      <c r="C158" s="245"/>
      <c r="D158" s="1619"/>
      <c r="E158" s="1920"/>
      <c r="F158" s="1611"/>
      <c r="G158" s="1921"/>
      <c r="H158" s="1619"/>
      <c r="I158" s="1619"/>
      <c r="J158" s="1922"/>
      <c r="K158" s="1923"/>
      <c r="L158" s="1924"/>
      <c r="M158" s="1924"/>
      <c r="N158" s="1925"/>
      <c r="O158" s="1620"/>
      <c r="P158" s="2018"/>
      <c r="Q158" s="2018"/>
      <c r="R158" s="2148"/>
      <c r="S158" s="2017"/>
      <c r="T158" s="242"/>
      <c r="U158" s="243"/>
      <c r="V158" s="243" t="s">
        <v>1438</v>
      </c>
      <c r="W158" s="244"/>
      <c r="Y158" s="1140"/>
      <c r="Z158" s="1140"/>
      <c r="AA158" s="1140"/>
      <c r="AB158" s="1140"/>
      <c r="AC158" s="1140"/>
      <c r="AD158" s="1140"/>
      <c r="AE158" s="1140"/>
      <c r="AF158" s="1140"/>
      <c r="AG158" s="1140"/>
      <c r="AH158" s="1140"/>
      <c r="AI158" s="1140"/>
      <c r="AJ158" s="1140"/>
      <c r="AK158" s="1140"/>
    </row>
    <row r="159" spans="1:43" s="1969" customFormat="1" ht="17.25" customHeight="1">
      <c r="G159" s="1911"/>
      <c r="H159" s="1911"/>
      <c r="I159" s="1911"/>
      <c r="M159" s="1371"/>
    </row>
    <row r="160" spans="1:43" s="1933" customFormat="1" ht="17.25" customHeight="1">
      <c r="A160" s="246"/>
      <c r="C160" s="131"/>
      <c r="D160" s="1619"/>
      <c r="E160" s="1920"/>
      <c r="F160" s="1604"/>
      <c r="G160" s="1921"/>
      <c r="H160" s="1924"/>
      <c r="I160" s="1924"/>
      <c r="J160" s="1926"/>
      <c r="K160" s="1921"/>
      <c r="L160" s="1924"/>
      <c r="M160" s="1924"/>
      <c r="N160" s="1921"/>
      <c r="O160" s="1921"/>
      <c r="P160" s="1924"/>
      <c r="Q160" s="1924"/>
      <c r="R160" s="1927"/>
      <c r="S160" s="1921"/>
      <c r="T160" s="1607"/>
      <c r="U160" s="1607" t="s">
        <v>108</v>
      </c>
      <c r="V160" s="1605" t="s">
        <v>17</v>
      </c>
      <c r="W160" s="1606"/>
      <c r="Y160" s="1147"/>
      <c r="Z160" s="1147"/>
      <c r="AA160" s="1147"/>
      <c r="AB160" s="1147"/>
      <c r="AC160" s="1147"/>
      <c r="AD160" s="1147"/>
      <c r="AE160" s="1147"/>
      <c r="AF160" s="1147"/>
      <c r="AG160" s="1147"/>
      <c r="AH160" s="1147"/>
      <c r="AI160" s="1147"/>
      <c r="AJ160" s="1147"/>
      <c r="AK160" s="1147"/>
      <c r="AL160" s="165"/>
      <c r="AM160" s="165"/>
      <c r="AN160" s="1147"/>
      <c r="AO160" s="1147"/>
      <c r="AP160" s="1147"/>
      <c r="AQ160" s="1147"/>
    </row>
    <row r="161" spans="1:43" s="1969" customFormat="1" ht="17.25" customHeight="1"/>
    <row r="162" spans="1:43" s="1737" customFormat="1" ht="17.25" customHeight="1">
      <c r="A162" s="21" t="s">
        <v>1442</v>
      </c>
    </row>
    <row r="163" spans="1:43" s="1969" customFormat="1" ht="17.25" customHeight="1">
      <c r="G163" s="1911"/>
      <c r="H163" s="1911"/>
      <c r="I163" s="1911"/>
      <c r="M163" s="1231"/>
    </row>
    <row r="164" spans="1:43" s="1933" customFormat="1" ht="17.25" customHeight="1">
      <c r="A164" s="246"/>
      <c r="C164" s="131"/>
      <c r="D164" s="2144"/>
      <c r="E164" s="2029"/>
      <c r="F164" s="2031"/>
      <c r="G164" s="2034"/>
      <c r="H164" s="2144"/>
      <c r="I164" s="2144">
        <v>1</v>
      </c>
      <c r="J164" s="2173"/>
      <c r="K164" s="2079" t="s">
        <v>62</v>
      </c>
      <c r="L164" s="2018"/>
      <c r="M164" s="2018" t="s">
        <v>108</v>
      </c>
      <c r="N164" s="2171" t="str">
        <f>IF(Z164="","",INDEX(TERRITORY_MR_LIST,MATCH(Z164,TERRITORY_LIST_ID,0)))</f>
        <v/>
      </c>
      <c r="O164" s="2079" t="s">
        <v>62</v>
      </c>
      <c r="P164" s="2018"/>
      <c r="Q164" s="2018" t="s">
        <v>108</v>
      </c>
      <c r="R164" s="2148" t="s">
        <v>17</v>
      </c>
      <c r="S164" s="2208" t="s">
        <v>55</v>
      </c>
      <c r="T164" s="1275"/>
      <c r="U164" s="1275" t="s">
        <v>108</v>
      </c>
      <c r="V164" s="1928"/>
      <c r="W164" s="2173"/>
      <c r="Y164" s="1147"/>
      <c r="Z164" s="1147"/>
      <c r="AA164" s="1147"/>
      <c r="AB164" s="1147"/>
      <c r="AC164" s="1147"/>
      <c r="AD164" s="1147"/>
      <c r="AE164" s="1147"/>
      <c r="AF164" s="1147"/>
      <c r="AG164" s="1147"/>
      <c r="AH164" s="1147"/>
      <c r="AI164" s="1147"/>
      <c r="AJ164" s="1147"/>
      <c r="AK164" s="1147"/>
      <c r="AL164" s="165"/>
      <c r="AM164" s="165"/>
      <c r="AN164" s="1147"/>
      <c r="AO164" s="1147"/>
      <c r="AP164" s="1147"/>
      <c r="AQ164" s="1147"/>
    </row>
    <row r="165" spans="1:43" s="1933" customFormat="1" ht="17.25" customHeight="1">
      <c r="A165" s="246"/>
      <c r="C165" s="245"/>
      <c r="D165" s="2144"/>
      <c r="E165" s="2029"/>
      <c r="F165" s="2032"/>
      <c r="G165" s="2034"/>
      <c r="H165" s="2144"/>
      <c r="I165" s="2144"/>
      <c r="J165" s="2173"/>
      <c r="K165" s="2080"/>
      <c r="L165" s="2018"/>
      <c r="M165" s="2018"/>
      <c r="N165" s="2171"/>
      <c r="O165" s="2080"/>
      <c r="P165" s="2018"/>
      <c r="Q165" s="2018"/>
      <c r="R165" s="2148"/>
      <c r="S165" s="2208"/>
      <c r="T165" s="1929"/>
      <c r="U165" s="1930"/>
      <c r="V165" s="1930"/>
      <c r="W165" s="2173"/>
      <c r="Y165" s="1140"/>
      <c r="Z165" s="1140"/>
      <c r="AA165" s="1140"/>
      <c r="AB165" s="1140"/>
      <c r="AC165" s="1140"/>
      <c r="AD165" s="1140"/>
      <c r="AE165" s="1140"/>
      <c r="AF165" s="1140"/>
      <c r="AG165" s="1140"/>
      <c r="AH165" s="1140"/>
      <c r="AI165" s="1140"/>
      <c r="AJ165" s="1140"/>
      <c r="AK165" s="1140"/>
    </row>
    <row r="166" spans="1:43" s="1933" customFormat="1" ht="17.25" customHeight="1">
      <c r="A166" s="246"/>
      <c r="C166" s="245"/>
      <c r="D166" s="2028"/>
      <c r="E166" s="2030"/>
      <c r="F166" s="2032"/>
      <c r="G166" s="2035"/>
      <c r="H166" s="2028"/>
      <c r="I166" s="2028"/>
      <c r="J166" s="2174"/>
      <c r="K166" s="2080"/>
      <c r="L166" s="2028"/>
      <c r="M166" s="2028"/>
      <c r="N166" s="2172"/>
      <c r="O166" s="2022"/>
      <c r="P166" s="242"/>
      <c r="Q166" s="243"/>
      <c r="R166" s="243" t="s">
        <v>1439</v>
      </c>
      <c r="S166" s="240"/>
      <c r="T166" s="240"/>
      <c r="U166" s="240"/>
      <c r="V166" s="240"/>
      <c r="W166" s="1931"/>
      <c r="Y166" s="1140"/>
      <c r="Z166" s="1140"/>
      <c r="AA166" s="1140"/>
      <c r="AB166" s="1140"/>
      <c r="AC166" s="1140"/>
      <c r="AD166" s="1140"/>
      <c r="AE166" s="1140"/>
      <c r="AF166" s="1140"/>
      <c r="AG166" s="1140"/>
      <c r="AH166" s="1140"/>
      <c r="AI166" s="1140"/>
      <c r="AJ166" s="1140"/>
      <c r="AK166" s="1140"/>
    </row>
    <row r="167" spans="1:43" s="1933" customFormat="1" ht="17.25" customHeight="1">
      <c r="A167" s="246"/>
      <c r="C167" s="245"/>
      <c r="D167" s="2028"/>
      <c r="E167" s="2030"/>
      <c r="F167" s="2032"/>
      <c r="G167" s="2035"/>
      <c r="H167" s="2028"/>
      <c r="I167" s="2028"/>
      <c r="J167" s="2174"/>
      <c r="K167" s="2022"/>
      <c r="L167" s="242"/>
      <c r="M167" s="243"/>
      <c r="N167" s="243" t="s">
        <v>1440</v>
      </c>
      <c r="O167" s="243"/>
      <c r="P167" s="243"/>
      <c r="Q167" s="243"/>
      <c r="R167" s="243"/>
      <c r="S167" s="240"/>
      <c r="T167" s="240"/>
      <c r="U167" s="240"/>
      <c r="V167" s="240"/>
      <c r="W167" s="244"/>
      <c r="Y167" s="1140"/>
      <c r="Z167" s="1140"/>
      <c r="AA167" s="1140"/>
      <c r="AB167" s="1140"/>
      <c r="AC167" s="1140"/>
      <c r="AD167" s="1140"/>
      <c r="AE167" s="1140"/>
      <c r="AF167" s="1140"/>
      <c r="AG167" s="1140"/>
      <c r="AH167" s="1140"/>
      <c r="AI167" s="1140"/>
      <c r="AJ167" s="1140"/>
      <c r="AK167" s="1140"/>
    </row>
    <row r="168" spans="1:43" s="1933" customFormat="1" ht="17.25" customHeight="1">
      <c r="A168" s="246"/>
      <c r="C168" s="245"/>
      <c r="D168" s="2028"/>
      <c r="E168" s="2030"/>
      <c r="F168" s="2033"/>
      <c r="G168" s="2035"/>
      <c r="H168" s="242"/>
      <c r="I168" s="243"/>
      <c r="J168" s="243" t="s">
        <v>1441</v>
      </c>
      <c r="K168" s="243"/>
      <c r="L168" s="243"/>
      <c r="M168" s="243"/>
      <c r="N168" s="243"/>
      <c r="O168" s="243"/>
      <c r="P168" s="243"/>
      <c r="Q168" s="243"/>
      <c r="R168" s="243"/>
      <c r="S168" s="240"/>
      <c r="T168" s="240"/>
      <c r="U168" s="240"/>
      <c r="V168" s="240"/>
      <c r="W168" s="244"/>
      <c r="Y168" s="1140"/>
      <c r="Z168" s="1140"/>
      <c r="AA168" s="1140"/>
      <c r="AB168" s="1140"/>
      <c r="AC168" s="1140"/>
      <c r="AD168" s="1140"/>
      <c r="AE168" s="1140"/>
      <c r="AF168" s="1140"/>
      <c r="AG168" s="1140"/>
      <c r="AH168" s="1140"/>
      <c r="AI168" s="1140"/>
      <c r="AJ168" s="1140"/>
      <c r="AK168" s="1140"/>
    </row>
    <row r="169" spans="1:43" s="1969" customFormat="1" ht="17.25" customHeight="1">
      <c r="A169" s="82"/>
    </row>
    <row r="170" spans="1:43" s="1933" customFormat="1" ht="17.25" customHeight="1">
      <c r="A170" s="246"/>
      <c r="C170" s="131"/>
      <c r="D170" s="1619"/>
      <c r="E170" s="1920"/>
      <c r="F170" s="1611"/>
      <c r="G170" s="1921"/>
      <c r="H170" s="2144"/>
      <c r="I170" s="2144">
        <v>1</v>
      </c>
      <c r="J170" s="2173"/>
      <c r="K170" s="2079" t="s">
        <v>62</v>
      </c>
      <c r="L170" s="2018"/>
      <c r="M170" s="2018" t="s">
        <v>108</v>
      </c>
      <c r="N170" s="2171" t="str">
        <f>IF(Z170="","",INDEX(TERRITORY_MR_LIST,MATCH(Z170,TERRITORY_LIST_ID,0)))</f>
        <v/>
      </c>
      <c r="O170" s="2079" t="s">
        <v>62</v>
      </c>
      <c r="P170" s="2018"/>
      <c r="Q170" s="2018" t="s">
        <v>108</v>
      </c>
      <c r="R170" s="2148" t="s">
        <v>17</v>
      </c>
      <c r="S170" s="2208" t="s">
        <v>55</v>
      </c>
      <c r="T170" s="1613"/>
      <c r="U170" s="1613" t="s">
        <v>108</v>
      </c>
      <c r="V170" s="1301"/>
      <c r="W170" s="2173"/>
      <c r="Y170" s="1147"/>
      <c r="Z170" s="1147"/>
      <c r="AA170" s="1147"/>
      <c r="AB170" s="1147"/>
      <c r="AC170" s="1147"/>
      <c r="AD170" s="1147"/>
      <c r="AE170" s="1147"/>
      <c r="AF170" s="1147"/>
      <c r="AG170" s="1147"/>
      <c r="AH170" s="1147"/>
      <c r="AI170" s="1147"/>
      <c r="AJ170" s="1147"/>
      <c r="AK170" s="1147"/>
      <c r="AL170" s="165"/>
      <c r="AM170" s="165"/>
      <c r="AN170" s="1147"/>
      <c r="AO170" s="1147"/>
      <c r="AP170" s="1147"/>
      <c r="AQ170" s="1147"/>
    </row>
    <row r="171" spans="1:43" s="1933" customFormat="1" ht="17.25" customHeight="1">
      <c r="A171" s="246"/>
      <c r="C171" s="245"/>
      <c r="D171" s="1619"/>
      <c r="E171" s="1920"/>
      <c r="F171" s="1611"/>
      <c r="G171" s="1921"/>
      <c r="H171" s="2144"/>
      <c r="I171" s="2144"/>
      <c r="J171" s="2173"/>
      <c r="K171" s="2080"/>
      <c r="L171" s="2018"/>
      <c r="M171" s="2018"/>
      <c r="N171" s="2171"/>
      <c r="O171" s="2080"/>
      <c r="P171" s="2018"/>
      <c r="Q171" s="2018"/>
      <c r="R171" s="2148"/>
      <c r="S171" s="2208"/>
      <c r="T171" s="1302"/>
      <c r="U171" s="1303"/>
      <c r="V171" s="1303"/>
      <c r="W171" s="2173"/>
      <c r="Y171" s="1140"/>
      <c r="Z171" s="1140"/>
      <c r="AA171" s="1140"/>
      <c r="AB171" s="1140"/>
      <c r="AC171" s="1140"/>
      <c r="AD171" s="1140"/>
      <c r="AE171" s="1140"/>
      <c r="AF171" s="1140"/>
      <c r="AG171" s="1140"/>
      <c r="AH171" s="1140"/>
      <c r="AI171" s="1140"/>
      <c r="AJ171" s="1140"/>
      <c r="AK171" s="1140"/>
    </row>
    <row r="172" spans="1:43" s="1933" customFormat="1" ht="17.25" customHeight="1">
      <c r="A172" s="246"/>
      <c r="C172" s="245"/>
      <c r="D172" s="1619"/>
      <c r="E172" s="1920"/>
      <c r="F172" s="1611"/>
      <c r="G172" s="1921"/>
      <c r="H172" s="2028"/>
      <c r="I172" s="2028"/>
      <c r="J172" s="2174"/>
      <c r="K172" s="2080"/>
      <c r="L172" s="2028"/>
      <c r="M172" s="2028"/>
      <c r="N172" s="2172"/>
      <c r="O172" s="2022"/>
      <c r="P172" s="242"/>
      <c r="Q172" s="243"/>
      <c r="R172" s="243" t="s">
        <v>1439</v>
      </c>
      <c r="S172" s="240"/>
      <c r="T172" s="240"/>
      <c r="U172" s="240"/>
      <c r="V172" s="240"/>
      <c r="W172" s="1300"/>
      <c r="Y172" s="1140"/>
      <c r="Z172" s="1140"/>
      <c r="AA172" s="1140"/>
      <c r="AB172" s="1140"/>
      <c r="AC172" s="1140"/>
      <c r="AD172" s="1140"/>
      <c r="AE172" s="1140"/>
      <c r="AF172" s="1140"/>
      <c r="AG172" s="1140"/>
      <c r="AH172" s="1140"/>
      <c r="AI172" s="1140"/>
      <c r="AJ172" s="1140"/>
      <c r="AK172" s="1140"/>
    </row>
    <row r="173" spans="1:43" s="1933" customFormat="1" ht="17.25" customHeight="1">
      <c r="A173" s="246"/>
      <c r="C173" s="245"/>
      <c r="D173" s="1619"/>
      <c r="E173" s="1920"/>
      <c r="F173" s="1611"/>
      <c r="G173" s="1921"/>
      <c r="H173" s="2028"/>
      <c r="I173" s="2028"/>
      <c r="J173" s="2174"/>
      <c r="K173" s="2022"/>
      <c r="L173" s="242"/>
      <c r="M173" s="243"/>
      <c r="N173" s="243" t="s">
        <v>1440</v>
      </c>
      <c r="O173" s="243"/>
      <c r="P173" s="243"/>
      <c r="Q173" s="243"/>
      <c r="R173" s="243"/>
      <c r="S173" s="240"/>
      <c r="T173" s="240"/>
      <c r="U173" s="240"/>
      <c r="V173" s="240"/>
      <c r="W173" s="244"/>
      <c r="Y173" s="1140"/>
      <c r="Z173" s="1140"/>
      <c r="AA173" s="1140"/>
      <c r="AB173" s="1140"/>
      <c r="AC173" s="1140"/>
      <c r="AD173" s="1140"/>
      <c r="AE173" s="1140"/>
      <c r="AF173" s="1140"/>
      <c r="AG173" s="1140"/>
      <c r="AH173" s="1140"/>
      <c r="AI173" s="1140"/>
      <c r="AJ173" s="1140"/>
      <c r="AK173" s="1140"/>
    </row>
    <row r="174" spans="1:43" ht="17.25" customHeight="1">
      <c r="A174" s="82"/>
    </row>
    <row r="175" spans="1:43" s="1933" customFormat="1" ht="17.25" customHeight="1">
      <c r="A175" s="246"/>
      <c r="C175" s="131"/>
      <c r="D175" s="1619"/>
      <c r="E175" s="1920"/>
      <c r="F175" s="1611"/>
      <c r="G175" s="1921"/>
      <c r="H175" s="1619"/>
      <c r="I175" s="1619"/>
      <c r="J175" s="1932"/>
      <c r="K175" s="1921"/>
      <c r="L175" s="2018"/>
      <c r="M175" s="2018" t="s">
        <v>108</v>
      </c>
      <c r="N175" s="2171" t="str">
        <f>IF(Z175="","",INDEX(TERRITORY_MR_LIST,MATCH(Z175,TERRITORY_LIST_ID,0)))</f>
        <v/>
      </c>
      <c r="O175" s="2079" t="s">
        <v>62</v>
      </c>
      <c r="P175" s="2018"/>
      <c r="Q175" s="2018" t="s">
        <v>108</v>
      </c>
      <c r="R175" s="2148" t="s">
        <v>17</v>
      </c>
      <c r="S175" s="2208" t="s">
        <v>55</v>
      </c>
      <c r="T175" s="1613"/>
      <c r="U175" s="1613" t="s">
        <v>108</v>
      </c>
      <c r="V175" s="1301"/>
      <c r="W175" s="2173"/>
      <c r="Y175" s="1147"/>
      <c r="Z175" s="1147"/>
      <c r="AA175" s="1147"/>
      <c r="AB175" s="1147"/>
      <c r="AC175" s="1147"/>
      <c r="AD175" s="1147"/>
      <c r="AE175" s="1147"/>
      <c r="AF175" s="1147"/>
      <c r="AG175" s="1147"/>
      <c r="AH175" s="1147"/>
      <c r="AI175" s="1147"/>
      <c r="AJ175" s="1147"/>
      <c r="AK175" s="1147"/>
      <c r="AL175" s="165"/>
      <c r="AM175" s="165"/>
      <c r="AN175" s="1147"/>
      <c r="AO175" s="1147"/>
      <c r="AP175" s="1147"/>
      <c r="AQ175" s="1147"/>
    </row>
    <row r="176" spans="1:43" s="1933" customFormat="1" ht="17.25" customHeight="1">
      <c r="A176" s="246"/>
      <c r="C176" s="245"/>
      <c r="D176" s="1619"/>
      <c r="E176" s="1920"/>
      <c r="F176" s="1611"/>
      <c r="G176" s="1921"/>
      <c r="H176" s="1619"/>
      <c r="I176" s="1619"/>
      <c r="J176" s="1932"/>
      <c r="K176" s="1921"/>
      <c r="L176" s="2018"/>
      <c r="M176" s="2018"/>
      <c r="N176" s="2171"/>
      <c r="O176" s="2080"/>
      <c r="P176" s="2018"/>
      <c r="Q176" s="2018"/>
      <c r="R176" s="2148"/>
      <c r="S176" s="2208"/>
      <c r="T176" s="1302"/>
      <c r="U176" s="1303"/>
      <c r="V176" s="1303"/>
      <c r="W176" s="2173"/>
      <c r="Y176" s="1140"/>
      <c r="Z176" s="1140"/>
      <c r="AA176" s="1140"/>
      <c r="AB176" s="1140"/>
      <c r="AC176" s="1140"/>
      <c r="AD176" s="1140"/>
      <c r="AE176" s="1140"/>
      <c r="AF176" s="1140"/>
      <c r="AG176" s="1140"/>
      <c r="AH176" s="1140"/>
      <c r="AI176" s="1140"/>
      <c r="AJ176" s="1140"/>
      <c r="AK176" s="1140"/>
    </row>
    <row r="177" spans="1:63" s="1933" customFormat="1" ht="17.25" customHeight="1">
      <c r="A177" s="246"/>
      <c r="C177" s="245"/>
      <c r="D177" s="1619"/>
      <c r="E177" s="1920"/>
      <c r="F177" s="1611"/>
      <c r="G177" s="1921"/>
      <c r="H177" s="1619"/>
      <c r="I177" s="1619"/>
      <c r="J177" s="1932"/>
      <c r="K177" s="1921"/>
      <c r="L177" s="2028"/>
      <c r="M177" s="2028"/>
      <c r="N177" s="2172"/>
      <c r="O177" s="2022"/>
      <c r="P177" s="242"/>
      <c r="Q177" s="243"/>
      <c r="R177" s="243" t="s">
        <v>1439</v>
      </c>
      <c r="S177" s="240"/>
      <c r="T177" s="240"/>
      <c r="U177" s="240"/>
      <c r="V177" s="240"/>
      <c r="W177" s="1300"/>
      <c r="Y177" s="1140"/>
      <c r="Z177" s="1140"/>
      <c r="AA177" s="1140"/>
      <c r="AB177" s="1140"/>
      <c r="AC177" s="1140"/>
      <c r="AD177" s="1140"/>
      <c r="AE177" s="1140"/>
      <c r="AF177" s="1140"/>
      <c r="AG177" s="1140"/>
      <c r="AH177" s="1140"/>
      <c r="AI177" s="1140"/>
      <c r="AJ177" s="1140"/>
      <c r="AK177" s="1140"/>
    </row>
    <row r="178" spans="1:63" s="1969" customFormat="1" ht="17.25" customHeight="1">
      <c r="A178" s="82"/>
    </row>
    <row r="179" spans="1:63" s="1933" customFormat="1" ht="17.25" customHeight="1">
      <c r="A179" s="246"/>
      <c r="C179" s="131"/>
      <c r="D179" s="1619"/>
      <c r="E179" s="1920"/>
      <c r="F179" s="1611"/>
      <c r="G179" s="1921"/>
      <c r="H179" s="1619"/>
      <c r="I179" s="1619"/>
      <c r="J179" s="1932"/>
      <c r="K179" s="1921"/>
      <c r="L179" s="1619"/>
      <c r="M179" s="1619"/>
      <c r="N179" s="1925"/>
      <c r="O179" s="1612"/>
      <c r="P179" s="2018"/>
      <c r="Q179" s="2018" t="s">
        <v>108</v>
      </c>
      <c r="R179" s="2148" t="s">
        <v>17</v>
      </c>
      <c r="S179" s="2208" t="s">
        <v>55</v>
      </c>
      <c r="T179" s="1613"/>
      <c r="U179" s="1613" t="s">
        <v>108</v>
      </c>
      <c r="V179" s="1301"/>
      <c r="W179" s="2173"/>
      <c r="Y179" s="1147"/>
      <c r="Z179" s="1147"/>
      <c r="AA179" s="1147"/>
      <c r="AB179" s="1147"/>
      <c r="AC179" s="1147"/>
      <c r="AD179" s="1147"/>
      <c r="AE179" s="1147"/>
      <c r="AF179" s="1147"/>
      <c r="AG179" s="1147"/>
      <c r="AH179" s="1147"/>
      <c r="AI179" s="1147"/>
      <c r="AJ179" s="1147"/>
      <c r="AK179" s="1147"/>
      <c r="AL179" s="165"/>
      <c r="AM179" s="165"/>
      <c r="AN179" s="1147"/>
      <c r="AO179" s="1147"/>
      <c r="AP179" s="1147"/>
      <c r="AQ179" s="1147"/>
    </row>
    <row r="180" spans="1:63" s="1933" customFormat="1" ht="17.25" customHeight="1">
      <c r="A180" s="246"/>
      <c r="C180" s="245"/>
      <c r="D180" s="1619"/>
      <c r="E180" s="1920"/>
      <c r="F180" s="1611"/>
      <c r="G180" s="1921"/>
      <c r="H180" s="1619"/>
      <c r="I180" s="1619"/>
      <c r="J180" s="1932"/>
      <c r="K180" s="1921"/>
      <c r="L180" s="1619"/>
      <c r="M180" s="1619"/>
      <c r="N180" s="1925"/>
      <c r="O180" s="1612"/>
      <c r="P180" s="2018"/>
      <c r="Q180" s="2018"/>
      <c r="R180" s="2148"/>
      <c r="S180" s="2208"/>
      <c r="T180" s="1302"/>
      <c r="U180" s="1303"/>
      <c r="V180" s="1303"/>
      <c r="W180" s="2173"/>
      <c r="Y180" s="1140"/>
      <c r="Z180" s="1140"/>
      <c r="AA180" s="1140"/>
      <c r="AB180" s="1140"/>
      <c r="AC180" s="1140"/>
      <c r="AD180" s="1140"/>
      <c r="AE180" s="1140"/>
      <c r="AF180" s="1140"/>
      <c r="AG180" s="1140"/>
      <c r="AH180" s="1140"/>
      <c r="AI180" s="1140"/>
      <c r="AJ180" s="1140"/>
      <c r="AK180" s="1140"/>
    </row>
    <row r="181" spans="1:63" s="1969" customFormat="1" ht="17.25" customHeight="1">
      <c r="A181" s="82"/>
    </row>
    <row r="182" spans="1:63" ht="16.5" customHeight="1">
      <c r="A182" s="81"/>
      <c r="B182" s="1933"/>
      <c r="C182" s="63"/>
      <c r="D182" s="2144"/>
      <c r="E182" s="2076"/>
      <c r="F182" s="2076"/>
      <c r="G182" s="2007"/>
      <c r="H182" s="2036"/>
      <c r="I182" s="2038"/>
      <c r="J182" s="2040"/>
      <c r="K182" s="2025"/>
      <c r="L182" s="2025"/>
      <c r="M182" s="2025"/>
      <c r="N182" s="2043"/>
      <c r="O182" s="2025"/>
      <c r="P182" s="2025"/>
      <c r="Q182" s="2025"/>
      <c r="R182" s="2046"/>
      <c r="S182" s="2025"/>
      <c r="T182" s="1177"/>
      <c r="U182" s="1177"/>
      <c r="V182" s="1178"/>
      <c r="W182" s="1934"/>
    </row>
    <row r="183" spans="1:63" s="1969" customFormat="1" ht="16.5" customHeight="1">
      <c r="A183" s="246"/>
      <c r="B183" s="241"/>
      <c r="C183" s="245"/>
      <c r="D183" s="2144"/>
      <c r="E183" s="2076"/>
      <c r="F183" s="2076"/>
      <c r="G183" s="2007"/>
      <c r="H183" s="2037"/>
      <c r="I183" s="2039"/>
      <c r="J183" s="2041"/>
      <c r="K183" s="2026"/>
      <c r="L183" s="2026"/>
      <c r="M183" s="2026"/>
      <c r="N183" s="2044"/>
      <c r="O183" s="2026"/>
      <c r="P183" s="2026"/>
      <c r="Q183" s="2026"/>
      <c r="R183" s="2045"/>
      <c r="S183" s="2026"/>
      <c r="T183" s="1936"/>
      <c r="U183" s="1936"/>
      <c r="V183" s="1936"/>
      <c r="W183" s="1937"/>
    </row>
    <row r="184" spans="1:63" ht="17.25" customHeight="1">
      <c r="A184" s="81"/>
      <c r="B184" s="1933"/>
      <c r="C184" s="63"/>
      <c r="D184" s="2144"/>
      <c r="E184" s="2076"/>
      <c r="F184" s="2076"/>
      <c r="G184" s="2007"/>
      <c r="H184" s="2037"/>
      <c r="I184" s="2039"/>
      <c r="J184" s="2042"/>
      <c r="K184" s="2026"/>
      <c r="L184" s="2026"/>
      <c r="M184" s="2026"/>
      <c r="N184" s="2045"/>
      <c r="O184" s="2026"/>
      <c r="P184" s="1182"/>
      <c r="Q184" s="1180"/>
      <c r="R184" s="1180"/>
      <c r="S184" s="255"/>
      <c r="T184" s="255"/>
      <c r="U184" s="255"/>
      <c r="V184" s="255"/>
      <c r="W184" s="1181"/>
    </row>
    <row r="185" spans="1:63" ht="17.25" customHeight="1">
      <c r="A185" s="81"/>
      <c r="B185" s="1933"/>
      <c r="C185" s="63"/>
      <c r="D185" s="2144"/>
      <c r="E185" s="2076"/>
      <c r="F185" s="2076"/>
      <c r="G185" s="2007"/>
      <c r="H185" s="2037"/>
      <c r="I185" s="2039"/>
      <c r="J185" s="2042"/>
      <c r="K185" s="2026"/>
      <c r="L185" s="1180"/>
      <c r="M185" s="1180"/>
      <c r="N185" s="1180"/>
      <c r="O185" s="1180"/>
      <c r="P185" s="1180"/>
      <c r="Q185" s="1180"/>
      <c r="R185" s="1180"/>
      <c r="S185" s="255"/>
      <c r="T185" s="255"/>
      <c r="U185" s="255"/>
      <c r="V185" s="255"/>
      <c r="W185" s="1181"/>
    </row>
    <row r="186" spans="1:63" ht="17.25" customHeight="1">
      <c r="A186" s="81"/>
      <c r="B186" s="1933"/>
      <c r="C186" s="63"/>
      <c r="D186" s="2144"/>
      <c r="E186" s="2076"/>
      <c r="F186" s="2076"/>
      <c r="G186" s="2007"/>
      <c r="H186" s="1938"/>
      <c r="I186" s="1939"/>
      <c r="J186" s="1939"/>
      <c r="K186" s="1939"/>
      <c r="L186" s="1939"/>
      <c r="M186" s="1939"/>
      <c r="N186" s="1939"/>
      <c r="O186" s="1939"/>
      <c r="P186" s="1939"/>
      <c r="Q186" s="1939"/>
      <c r="R186" s="1939"/>
      <c r="S186" s="1940"/>
      <c r="T186" s="1940"/>
      <c r="U186" s="1940"/>
      <c r="V186" s="1940"/>
      <c r="W186" s="1941"/>
    </row>
    <row r="187" spans="1:63" s="1969" customFormat="1" ht="17.25" customHeight="1"/>
    <row r="188" spans="1:63" s="1737" customFormat="1" ht="17.25" customHeight="1">
      <c r="A188" s="21" t="s">
        <v>1443</v>
      </c>
    </row>
    <row r="189" spans="1:63" s="1969" customFormat="1" ht="17.25" customHeight="1">
      <c r="G189" s="1911"/>
      <c r="H189" s="1911"/>
      <c r="I189" s="1911"/>
      <c r="M189" s="1371"/>
    </row>
    <row r="190" spans="1:63" s="1969" customFormat="1" ht="14.25" customHeight="1">
      <c r="D190" s="2200"/>
      <c r="E190" s="2071"/>
      <c r="F190" s="2071"/>
      <c r="G190" s="2079"/>
      <c r="H190" s="1433"/>
      <c r="I190" s="2201">
        <v>1</v>
      </c>
      <c r="J190" s="2173"/>
      <c r="K190" s="1444"/>
      <c r="L190" s="2079" t="s">
        <v>62</v>
      </c>
      <c r="M190" s="2079" t="s">
        <v>62</v>
      </c>
      <c r="N190" s="1433"/>
      <c r="O190" s="2018" t="s">
        <v>108</v>
      </c>
      <c r="P190" s="2194"/>
      <c r="Q190" s="1942"/>
      <c r="R190" s="2079" t="s">
        <v>62</v>
      </c>
      <c r="S190" s="2079" t="s">
        <v>62</v>
      </c>
      <c r="T190" s="1434"/>
      <c r="U190" s="2018" t="s">
        <v>108</v>
      </c>
      <c r="V190" s="2196" t="str">
        <f>IF(AK190="","",INDEX(TERRITORY_MR_LIST,MATCH(AK190,TERRITORY_LIST_ID,0)))</f>
        <v/>
      </c>
      <c r="W190" s="1445"/>
      <c r="X190" s="2079" t="s">
        <v>62</v>
      </c>
      <c r="Y190" s="2079" t="s">
        <v>55</v>
      </c>
      <c r="Z190" s="1433"/>
      <c r="AA190" s="2018" t="s">
        <v>108</v>
      </c>
      <c r="AB190" s="2198"/>
      <c r="AC190" s="1446"/>
      <c r="AD190" s="2079" t="s">
        <v>62</v>
      </c>
      <c r="AE190" s="2079" t="s">
        <v>55</v>
      </c>
      <c r="AF190" s="1431"/>
      <c r="AG190" s="1375" t="s">
        <v>108</v>
      </c>
      <c r="AH190" s="1943"/>
      <c r="AI190" s="1376"/>
      <c r="BK190" s="357"/>
    </row>
    <row r="191" spans="1:63" s="1969" customFormat="1" ht="14.25" customHeight="1">
      <c r="D191" s="2200"/>
      <c r="E191" s="2071"/>
      <c r="F191" s="2071"/>
      <c r="G191" s="2080"/>
      <c r="H191" s="1433"/>
      <c r="I191" s="2201"/>
      <c r="J191" s="2173"/>
      <c r="K191" s="1432"/>
      <c r="L191" s="2080"/>
      <c r="M191" s="2080"/>
      <c r="N191" s="1433"/>
      <c r="O191" s="2018"/>
      <c r="P191" s="2194"/>
      <c r="Q191" s="1944"/>
      <c r="R191" s="2080"/>
      <c r="S191" s="2080"/>
      <c r="T191" s="1434"/>
      <c r="U191" s="2018"/>
      <c r="V191" s="2197"/>
      <c r="W191" s="1430"/>
      <c r="X191" s="2080"/>
      <c r="Y191" s="2080"/>
      <c r="Z191" s="1433"/>
      <c r="AA191" s="2018"/>
      <c r="AB191" s="2199"/>
      <c r="AC191" s="1435"/>
      <c r="AD191" s="2022"/>
      <c r="AE191" s="2022"/>
      <c r="AF191" s="1945"/>
      <c r="AG191" s="1946"/>
      <c r="AH191" s="2203" t="s">
        <v>1444</v>
      </c>
      <c r="AI191" s="2204"/>
      <c r="BK191" s="357"/>
    </row>
    <row r="192" spans="1:63" s="1969" customFormat="1" ht="14.25" customHeight="1">
      <c r="D192" s="2200"/>
      <c r="E192" s="2071"/>
      <c r="F192" s="2071"/>
      <c r="G192" s="2080"/>
      <c r="H192" s="1433"/>
      <c r="I192" s="2201"/>
      <c r="J192" s="2173"/>
      <c r="K192" s="1432"/>
      <c r="L192" s="2080"/>
      <c r="M192" s="2080"/>
      <c r="N192" s="1433"/>
      <c r="O192" s="2018"/>
      <c r="P192" s="2194"/>
      <c r="Q192" s="1944"/>
      <c r="R192" s="2080"/>
      <c r="S192" s="2080"/>
      <c r="T192" s="1434"/>
      <c r="U192" s="2018"/>
      <c r="V192" s="2197"/>
      <c r="W192" s="1430"/>
      <c r="X192" s="2080"/>
      <c r="Y192" s="2080"/>
      <c r="Z192" s="1468"/>
      <c r="AA192" s="1437"/>
      <c r="AB192" s="2205" t="s">
        <v>1445</v>
      </c>
      <c r="AC192" s="2205"/>
      <c r="AD192" s="2205"/>
      <c r="AE192" s="2205"/>
      <c r="AF192" s="2205"/>
      <c r="AG192" s="2205"/>
      <c r="AH192" s="2205"/>
      <c r="AI192" s="2206"/>
      <c r="BK192" s="357"/>
    </row>
    <row r="193" spans="1:63" s="1969" customFormat="1" ht="14.25" customHeight="1">
      <c r="D193" s="2200"/>
      <c r="E193" s="2071"/>
      <c r="F193" s="2071"/>
      <c r="G193" s="2080"/>
      <c r="H193" s="1433"/>
      <c r="I193" s="2201"/>
      <c r="J193" s="2173"/>
      <c r="K193" s="1432"/>
      <c r="L193" s="2080"/>
      <c r="M193" s="2080"/>
      <c r="N193" s="1433"/>
      <c r="O193" s="2018"/>
      <c r="P193" s="2207"/>
      <c r="Q193" s="1944"/>
      <c r="R193" s="2080"/>
      <c r="S193" s="2080"/>
      <c r="T193" s="1467"/>
      <c r="U193" s="1947"/>
      <c r="V193" s="2203" t="s">
        <v>102</v>
      </c>
      <c r="W193" s="2203"/>
      <c r="X193" s="2203"/>
      <c r="Y193" s="2203"/>
      <c r="Z193" s="2203"/>
      <c r="AA193" s="2203"/>
      <c r="AB193" s="2203"/>
      <c r="AC193" s="2203"/>
      <c r="AD193" s="2203"/>
      <c r="AE193" s="2203"/>
      <c r="AF193" s="2203"/>
      <c r="AG193" s="2203"/>
      <c r="AH193" s="2203"/>
      <c r="AI193" s="2204"/>
      <c r="BK193" s="357"/>
    </row>
    <row r="194" spans="1:63" s="1969" customFormat="1" ht="11.25" customHeight="1">
      <c r="D194" s="2200"/>
      <c r="E194" s="2071"/>
      <c r="F194" s="2071"/>
      <c r="G194" s="2080"/>
      <c r="H194" s="1436"/>
      <c r="I194" s="2201"/>
      <c r="J194" s="2202"/>
      <c r="K194" s="1432"/>
      <c r="L194" s="2080"/>
      <c r="M194" s="2080"/>
      <c r="N194" s="1436"/>
      <c r="O194" s="1948"/>
      <c r="P194" s="2203" t="s">
        <v>1446</v>
      </c>
      <c r="Q194" s="2203"/>
      <c r="R194" s="2203"/>
      <c r="S194" s="2203"/>
      <c r="T194" s="2203"/>
      <c r="U194" s="2203"/>
      <c r="V194" s="2203"/>
      <c r="W194" s="2203"/>
      <c r="X194" s="2203"/>
      <c r="Y194" s="2203"/>
      <c r="Z194" s="2203"/>
      <c r="AA194" s="2203"/>
      <c r="AB194" s="2203"/>
      <c r="AC194" s="2203"/>
      <c r="AD194" s="2203"/>
      <c r="AE194" s="2203"/>
      <c r="AF194" s="2203"/>
      <c r="AG194" s="2203"/>
      <c r="AH194" s="2203"/>
      <c r="AI194" s="2204"/>
      <c r="BK194" s="357"/>
    </row>
    <row r="195" spans="1:63" s="1639" customFormat="1" ht="11.25" customHeight="1">
      <c r="D195" s="2200"/>
      <c r="E195" s="2071"/>
      <c r="F195" s="2071"/>
      <c r="G195" s="2022"/>
      <c r="H195" s="1949"/>
      <c r="I195" s="1950"/>
      <c r="J195" s="2203" t="s">
        <v>1441</v>
      </c>
      <c r="K195" s="2203"/>
      <c r="L195" s="2203"/>
      <c r="M195" s="2203"/>
      <c r="N195" s="2203"/>
      <c r="O195" s="2203"/>
      <c r="P195" s="2203"/>
      <c r="Q195" s="2203"/>
      <c r="R195" s="2203"/>
      <c r="S195" s="2203"/>
      <c r="T195" s="2203"/>
      <c r="U195" s="2203"/>
      <c r="V195" s="2203"/>
      <c r="W195" s="2203"/>
      <c r="X195" s="2203"/>
      <c r="Y195" s="2203"/>
      <c r="Z195" s="2203"/>
      <c r="AA195" s="2203"/>
      <c r="AB195" s="2203"/>
      <c r="AC195" s="2203"/>
      <c r="AD195" s="2203"/>
      <c r="AE195" s="2203"/>
      <c r="AF195" s="2203"/>
      <c r="AG195" s="2203"/>
      <c r="AH195" s="2203"/>
      <c r="AI195" s="2204"/>
      <c r="BK195" s="1439"/>
    </row>
    <row r="196" spans="1:63" s="1969" customFormat="1" ht="17.25" customHeight="1">
      <c r="G196" s="1911"/>
      <c r="I196" s="1911"/>
      <c r="J196" s="1911"/>
      <c r="N196" s="1371"/>
    </row>
    <row r="197" spans="1:63" s="1969" customFormat="1" ht="14.25" customHeight="1">
      <c r="D197" s="2200"/>
      <c r="E197" s="2071"/>
      <c r="F197" s="2071"/>
      <c r="G197" s="2076"/>
      <c r="H197" s="1463"/>
      <c r="I197" s="2081"/>
      <c r="J197" s="2040"/>
      <c r="K197" s="1374"/>
      <c r="L197" s="2025"/>
      <c r="M197" s="2025"/>
      <c r="N197" s="1448"/>
      <c r="O197" s="2025"/>
      <c r="P197" s="2040"/>
      <c r="Q197" s="1449"/>
      <c r="R197" s="2025"/>
      <c r="S197" s="2025"/>
      <c r="T197" s="1450"/>
      <c r="U197" s="2025"/>
      <c r="V197" s="2040"/>
      <c r="W197" s="1451"/>
      <c r="X197" s="2025"/>
      <c r="Y197" s="2025"/>
      <c r="Z197" s="1448"/>
      <c r="AA197" s="2025"/>
      <c r="AB197" s="2040"/>
      <c r="AC197" s="1452"/>
      <c r="AD197" s="2025"/>
      <c r="AE197" s="2025"/>
      <c r="AF197" s="1373"/>
      <c r="AG197" s="1373"/>
      <c r="AH197" s="1951"/>
      <c r="AI197" s="1179"/>
      <c r="BK197" s="357"/>
    </row>
    <row r="198" spans="1:63" s="1969" customFormat="1" ht="14.25" customHeight="1">
      <c r="D198" s="2200"/>
      <c r="E198" s="2071"/>
      <c r="F198" s="2071"/>
      <c r="G198" s="2076"/>
      <c r="H198" s="1464"/>
      <c r="I198" s="2082"/>
      <c r="J198" s="2041"/>
      <c r="K198" s="1447"/>
      <c r="L198" s="2026"/>
      <c r="M198" s="2026"/>
      <c r="N198" s="1454"/>
      <c r="O198" s="2026"/>
      <c r="P198" s="2041"/>
      <c r="Q198" s="1455"/>
      <c r="R198" s="2026"/>
      <c r="S198" s="2026"/>
      <c r="T198" s="1456"/>
      <c r="U198" s="2026"/>
      <c r="V198" s="2041"/>
      <c r="W198" s="1457"/>
      <c r="X198" s="2026"/>
      <c r="Y198" s="2026"/>
      <c r="Z198" s="1454"/>
      <c r="AA198" s="2026"/>
      <c r="AB198" s="2041"/>
      <c r="AC198" s="1458"/>
      <c r="AD198" s="2026"/>
      <c r="AE198" s="2026"/>
      <c r="AF198" s="1459"/>
      <c r="AG198" s="1459"/>
      <c r="AH198" s="2085"/>
      <c r="AI198" s="2086"/>
      <c r="BK198" s="357"/>
    </row>
    <row r="199" spans="1:63" s="1969" customFormat="1" ht="14.25" customHeight="1">
      <c r="D199" s="2200"/>
      <c r="E199" s="2071"/>
      <c r="F199" s="2071"/>
      <c r="G199" s="2076"/>
      <c r="H199" s="1464"/>
      <c r="I199" s="2082"/>
      <c r="J199" s="2041"/>
      <c r="K199" s="1447"/>
      <c r="L199" s="2026"/>
      <c r="M199" s="2026"/>
      <c r="N199" s="1454"/>
      <c r="O199" s="2026"/>
      <c r="P199" s="2041"/>
      <c r="Q199" s="1455"/>
      <c r="R199" s="2026"/>
      <c r="S199" s="2026"/>
      <c r="T199" s="1456"/>
      <c r="U199" s="2026"/>
      <c r="V199" s="2041"/>
      <c r="W199" s="1457"/>
      <c r="X199" s="2026"/>
      <c r="Y199" s="2026"/>
      <c r="Z199" s="1372"/>
      <c r="AA199" s="1459"/>
      <c r="AB199" s="2085"/>
      <c r="AC199" s="2085"/>
      <c r="AD199" s="2085"/>
      <c r="AE199" s="2085"/>
      <c r="AF199" s="2085"/>
      <c r="AG199" s="2085"/>
      <c r="AH199" s="2085"/>
      <c r="AI199" s="2086"/>
      <c r="BK199" s="357"/>
    </row>
    <row r="200" spans="1:63" s="1969" customFormat="1" ht="14.25" customHeight="1">
      <c r="D200" s="2200"/>
      <c r="E200" s="2071"/>
      <c r="F200" s="2071"/>
      <c r="G200" s="2076"/>
      <c r="H200" s="1464"/>
      <c r="I200" s="2082"/>
      <c r="J200" s="2041"/>
      <c r="K200" s="1447"/>
      <c r="L200" s="2026"/>
      <c r="M200" s="2026"/>
      <c r="N200" s="1454"/>
      <c r="O200" s="2026"/>
      <c r="P200" s="2041"/>
      <c r="Q200" s="1455"/>
      <c r="R200" s="2026"/>
      <c r="S200" s="2026"/>
      <c r="T200" s="1460"/>
      <c r="U200" s="1952"/>
      <c r="V200" s="2085"/>
      <c r="W200" s="2085"/>
      <c r="X200" s="2085"/>
      <c r="Y200" s="2085"/>
      <c r="Z200" s="2085"/>
      <c r="AA200" s="2085"/>
      <c r="AB200" s="2085"/>
      <c r="AC200" s="2085"/>
      <c r="AD200" s="2085"/>
      <c r="AE200" s="2085"/>
      <c r="AF200" s="2085"/>
      <c r="AG200" s="2085"/>
      <c r="AH200" s="2085"/>
      <c r="AI200" s="2086"/>
      <c r="BK200" s="357"/>
    </row>
    <row r="201" spans="1:63" s="1969" customFormat="1" ht="11.25" customHeight="1">
      <c r="D201" s="2200"/>
      <c r="E201" s="2071"/>
      <c r="F201" s="2071"/>
      <c r="G201" s="2076"/>
      <c r="H201" s="1953"/>
      <c r="I201" s="2082"/>
      <c r="J201" s="2041"/>
      <c r="K201" s="1447"/>
      <c r="L201" s="2026"/>
      <c r="M201" s="2026"/>
      <c r="N201" s="1459"/>
      <c r="O201" s="1459"/>
      <c r="P201" s="2085"/>
      <c r="Q201" s="2085"/>
      <c r="R201" s="2085"/>
      <c r="S201" s="2085"/>
      <c r="T201" s="2085"/>
      <c r="U201" s="2085"/>
      <c r="V201" s="2085"/>
      <c r="W201" s="2085"/>
      <c r="X201" s="2085"/>
      <c r="Y201" s="2085"/>
      <c r="Z201" s="2085"/>
      <c r="AA201" s="2085"/>
      <c r="AB201" s="2085"/>
      <c r="AC201" s="2085"/>
      <c r="AD201" s="2085"/>
      <c r="AE201" s="2085"/>
      <c r="AF201" s="2085"/>
      <c r="AG201" s="2085"/>
      <c r="AH201" s="2085"/>
      <c r="AI201" s="2086"/>
      <c r="BK201" s="357"/>
    </row>
    <row r="202" spans="1:63" s="1639" customFormat="1" ht="11.25" customHeight="1">
      <c r="D202" s="2200"/>
      <c r="E202" s="2071"/>
      <c r="F202" s="2071"/>
      <c r="G202" s="2087"/>
      <c r="H202" s="1954"/>
      <c r="I202" s="1955"/>
      <c r="J202" s="2083"/>
      <c r="K202" s="2083"/>
      <c r="L202" s="2083"/>
      <c r="M202" s="2083"/>
      <c r="N202" s="2083"/>
      <c r="O202" s="2083"/>
      <c r="P202" s="2083"/>
      <c r="Q202" s="2083"/>
      <c r="R202" s="2083"/>
      <c r="S202" s="2083"/>
      <c r="T202" s="2083"/>
      <c r="U202" s="2083"/>
      <c r="V202" s="2083"/>
      <c r="W202" s="2083"/>
      <c r="X202" s="2083"/>
      <c r="Y202" s="2083"/>
      <c r="Z202" s="2083"/>
      <c r="AA202" s="2083"/>
      <c r="AB202" s="2083"/>
      <c r="AC202" s="2083"/>
      <c r="AD202" s="2083"/>
      <c r="AE202" s="2083"/>
      <c r="AF202" s="2083"/>
      <c r="AG202" s="2083"/>
      <c r="AH202" s="2083"/>
      <c r="AI202" s="2084"/>
      <c r="BK202" s="1439"/>
    </row>
    <row r="203" spans="1:63" ht="17.25" customHeight="1">
      <c r="A203" s="82"/>
    </row>
  </sheetData>
  <sheetProtection formatColumns="0" formatRows="0" insertRows="0" deleteColumns="0" deleteRows="0" sort="0" autoFilter="0"/>
  <mergeCells count="285">
    <mergeCell ref="P179:P180"/>
    <mergeCell ref="Q179:Q180"/>
    <mergeCell ref="R179:R180"/>
    <mergeCell ref="S179:S180"/>
    <mergeCell ref="W179:W180"/>
    <mergeCell ref="W170:W171"/>
    <mergeCell ref="L175:L177"/>
    <mergeCell ref="M175:M177"/>
    <mergeCell ref="N175:N177"/>
    <mergeCell ref="O175:O177"/>
    <mergeCell ref="P175:P176"/>
    <mergeCell ref="Q175:Q176"/>
    <mergeCell ref="R175:R176"/>
    <mergeCell ref="S175:S176"/>
    <mergeCell ref="W175:W176"/>
    <mergeCell ref="P157:P158"/>
    <mergeCell ref="Q157:Q158"/>
    <mergeCell ref="R157:R158"/>
    <mergeCell ref="S157:S158"/>
    <mergeCell ref="H170:H173"/>
    <mergeCell ref="I170:I173"/>
    <mergeCell ref="J170:J173"/>
    <mergeCell ref="K170:K173"/>
    <mergeCell ref="L170:L172"/>
    <mergeCell ref="M170:M172"/>
    <mergeCell ref="N170:N172"/>
    <mergeCell ref="O170:O172"/>
    <mergeCell ref="P170:P171"/>
    <mergeCell ref="Q170:Q171"/>
    <mergeCell ref="R170:R171"/>
    <mergeCell ref="S170:S171"/>
    <mergeCell ref="S164:S165"/>
    <mergeCell ref="O148:O150"/>
    <mergeCell ref="P148:P149"/>
    <mergeCell ref="Q148:Q149"/>
    <mergeCell ref="R148:R149"/>
    <mergeCell ref="S148:S149"/>
    <mergeCell ref="L153:L155"/>
    <mergeCell ref="M153:M155"/>
    <mergeCell ref="N153:N155"/>
    <mergeCell ref="O153:O155"/>
    <mergeCell ref="P153:P154"/>
    <mergeCell ref="Q153:Q154"/>
    <mergeCell ref="R153:R154"/>
    <mergeCell ref="S153:S154"/>
    <mergeCell ref="AF89:AF93"/>
    <mergeCell ref="AG89:AG93"/>
    <mergeCell ref="AH89:AH93"/>
    <mergeCell ref="AI89:AI93"/>
    <mergeCell ref="AJ89:AJ93"/>
    <mergeCell ref="AK89:AK93"/>
    <mergeCell ref="N90:N92"/>
    <mergeCell ref="O90:O92"/>
    <mergeCell ref="P90:P92"/>
    <mergeCell ref="Q90:Q92"/>
    <mergeCell ref="R90:R92"/>
    <mergeCell ref="S90:S92"/>
    <mergeCell ref="T90:T92"/>
    <mergeCell ref="U90:U92"/>
    <mergeCell ref="V90:V92"/>
    <mergeCell ref="W90:W92"/>
    <mergeCell ref="X90:X92"/>
    <mergeCell ref="Y90:Y92"/>
    <mergeCell ref="S79:S81"/>
    <mergeCell ref="T79:T81"/>
    <mergeCell ref="U79:U81"/>
    <mergeCell ref="V79:V81"/>
    <mergeCell ref="W79:W81"/>
    <mergeCell ref="X79:X81"/>
    <mergeCell ref="Y79:Y81"/>
    <mergeCell ref="H89:H93"/>
    <mergeCell ref="I89:I93"/>
    <mergeCell ref="J89:J93"/>
    <mergeCell ref="K89:K93"/>
    <mergeCell ref="L89:L93"/>
    <mergeCell ref="M89:M93"/>
    <mergeCell ref="AB197:AB198"/>
    <mergeCell ref="AD197:AD198"/>
    <mergeCell ref="AE197:AE198"/>
    <mergeCell ref="AH198:AI198"/>
    <mergeCell ref="AB199:AI199"/>
    <mergeCell ref="V200:AI200"/>
    <mergeCell ref="P201:AI201"/>
    <mergeCell ref="J202:AI202"/>
    <mergeCell ref="AD190:AD191"/>
    <mergeCell ref="AE190:AE191"/>
    <mergeCell ref="AH191:AI191"/>
    <mergeCell ref="AB192:AI192"/>
    <mergeCell ref="V193:AI193"/>
    <mergeCell ref="P194:AI194"/>
    <mergeCell ref="J195:AI195"/>
    <mergeCell ref="P197:P200"/>
    <mergeCell ref="R197:R200"/>
    <mergeCell ref="S197:S200"/>
    <mergeCell ref="U197:U199"/>
    <mergeCell ref="V197:V199"/>
    <mergeCell ref="X197:X199"/>
    <mergeCell ref="Y197:Y199"/>
    <mergeCell ref="AA197:AA198"/>
    <mergeCell ref="P190:P193"/>
    <mergeCell ref="D197:D202"/>
    <mergeCell ref="E197:E202"/>
    <mergeCell ref="F197:F202"/>
    <mergeCell ref="G197:G202"/>
    <mergeCell ref="I197:I201"/>
    <mergeCell ref="J197:J201"/>
    <mergeCell ref="L197:L201"/>
    <mergeCell ref="M197:M201"/>
    <mergeCell ref="O197:O200"/>
    <mergeCell ref="R190:R193"/>
    <mergeCell ref="S190:S193"/>
    <mergeCell ref="U190:U192"/>
    <mergeCell ref="V190:V192"/>
    <mergeCell ref="X190:X192"/>
    <mergeCell ref="Y190:Y192"/>
    <mergeCell ref="AA190:AA191"/>
    <mergeCell ref="AB190:AB191"/>
    <mergeCell ref="D190:D195"/>
    <mergeCell ref="E190:E195"/>
    <mergeCell ref="F190:F195"/>
    <mergeCell ref="G190:G195"/>
    <mergeCell ref="I190:I194"/>
    <mergeCell ref="J190:J194"/>
    <mergeCell ref="L190:L194"/>
    <mergeCell ref="M190:M194"/>
    <mergeCell ref="O190:O193"/>
    <mergeCell ref="W164:W165"/>
    <mergeCell ref="D164:D168"/>
    <mergeCell ref="E164:E168"/>
    <mergeCell ref="F164:F168"/>
    <mergeCell ref="G164:G168"/>
    <mergeCell ref="H164:H167"/>
    <mergeCell ref="I164:I167"/>
    <mergeCell ref="J164:J167"/>
    <mergeCell ref="K164:K167"/>
    <mergeCell ref="L164:L166"/>
    <mergeCell ref="AJ70:AJ74"/>
    <mergeCell ref="AK70:AK74"/>
    <mergeCell ref="I75:K75"/>
    <mergeCell ref="F70:F75"/>
    <mergeCell ref="AF70:AF74"/>
    <mergeCell ref="AG70:AG74"/>
    <mergeCell ref="AH70:AH74"/>
    <mergeCell ref="AI70:AI74"/>
    <mergeCell ref="S71:S73"/>
    <mergeCell ref="T71:T73"/>
    <mergeCell ref="U71:U73"/>
    <mergeCell ref="V71:V73"/>
    <mergeCell ref="W71:W73"/>
    <mergeCell ref="X71:X73"/>
    <mergeCell ref="Y71:Y73"/>
    <mergeCell ref="H70:H74"/>
    <mergeCell ref="I70:I74"/>
    <mergeCell ref="J70:J74"/>
    <mergeCell ref="K70:K74"/>
    <mergeCell ref="L70:L74"/>
    <mergeCell ref="M70:M74"/>
    <mergeCell ref="N71:N73"/>
    <mergeCell ref="O71:O73"/>
    <mergeCell ref="Y60:Y61"/>
    <mergeCell ref="S60:S61"/>
    <mergeCell ref="T60:T61"/>
    <mergeCell ref="M60:M61"/>
    <mergeCell ref="N60:N61"/>
    <mergeCell ref="O60:O61"/>
    <mergeCell ref="Q60:Q61"/>
    <mergeCell ref="R60:R61"/>
    <mergeCell ref="W60:W61"/>
    <mergeCell ref="X60:X61"/>
    <mergeCell ref="P60:P61"/>
    <mergeCell ref="Q182:Q183"/>
    <mergeCell ref="R182:R183"/>
    <mergeCell ref="S182:S183"/>
    <mergeCell ref="P182:P183"/>
    <mergeCell ref="I182:I185"/>
    <mergeCell ref="F182:F186"/>
    <mergeCell ref="A13:A15"/>
    <mergeCell ref="D19:D21"/>
    <mergeCell ref="E19:E21"/>
    <mergeCell ref="F19:F21"/>
    <mergeCell ref="G19:G20"/>
    <mergeCell ref="H19:H20"/>
    <mergeCell ref="I19:I20"/>
    <mergeCell ref="J19:J20"/>
    <mergeCell ref="G25:G26"/>
    <mergeCell ref="H25:H26"/>
    <mergeCell ref="I25:I26"/>
    <mergeCell ref="J25:J26"/>
    <mergeCell ref="M164:M166"/>
    <mergeCell ref="N164:N166"/>
    <mergeCell ref="O164:O166"/>
    <mergeCell ref="P164:P165"/>
    <mergeCell ref="Q164:Q165"/>
    <mergeCell ref="R164:R165"/>
    <mergeCell ref="D182:D186"/>
    <mergeCell ref="I142:I145"/>
    <mergeCell ref="H182:H185"/>
    <mergeCell ref="J182:J185"/>
    <mergeCell ref="K182:K185"/>
    <mergeCell ref="M182:M184"/>
    <mergeCell ref="O182:O184"/>
    <mergeCell ref="L182:L184"/>
    <mergeCell ref="L142:L144"/>
    <mergeCell ref="N182:N184"/>
    <mergeCell ref="E142:E146"/>
    <mergeCell ref="N142:N144"/>
    <mergeCell ref="J142:J145"/>
    <mergeCell ref="F142:F146"/>
    <mergeCell ref="E182:E186"/>
    <mergeCell ref="H142:H145"/>
    <mergeCell ref="G182:G186"/>
    <mergeCell ref="H148:H151"/>
    <mergeCell ref="I148:I151"/>
    <mergeCell ref="J148:J151"/>
    <mergeCell ref="K148:K151"/>
    <mergeCell ref="L148:L150"/>
    <mergeCell ref="M148:M150"/>
    <mergeCell ref="N148:N150"/>
    <mergeCell ref="AC103:AC108"/>
    <mergeCell ref="E104:G104"/>
    <mergeCell ref="H104:R104"/>
    <mergeCell ref="E105:G105"/>
    <mergeCell ref="E127:E130"/>
    <mergeCell ref="F127:F130"/>
    <mergeCell ref="G127:G130"/>
    <mergeCell ref="L127:M127"/>
    <mergeCell ref="S127:S130"/>
    <mergeCell ref="H128:H129"/>
    <mergeCell ref="I128:I129"/>
    <mergeCell ref="J128:J129"/>
    <mergeCell ref="K128:K129"/>
    <mergeCell ref="H105:R105"/>
    <mergeCell ref="E106:P106"/>
    <mergeCell ref="U106:U108"/>
    <mergeCell ref="V106:V108"/>
    <mergeCell ref="E109:P109"/>
    <mergeCell ref="AC115:AC120"/>
    <mergeCell ref="E116:G116"/>
    <mergeCell ref="H116:R116"/>
    <mergeCell ref="E117:G117"/>
    <mergeCell ref="H117:R117"/>
    <mergeCell ref="E118:P118"/>
    <mergeCell ref="D115:D123"/>
    <mergeCell ref="E115:G115"/>
    <mergeCell ref="H115:R115"/>
    <mergeCell ref="D103:D111"/>
    <mergeCell ref="E103:G103"/>
    <mergeCell ref="H103:R103"/>
    <mergeCell ref="M142:M144"/>
    <mergeCell ref="P71:P73"/>
    <mergeCell ref="Q71:Q73"/>
    <mergeCell ref="R71:R73"/>
    <mergeCell ref="N79:N81"/>
    <mergeCell ref="O79:O81"/>
    <mergeCell ref="P79:P81"/>
    <mergeCell ref="Q79:Q81"/>
    <mergeCell ref="R79:R81"/>
    <mergeCell ref="H135:H136"/>
    <mergeCell ref="I135:I136"/>
    <mergeCell ref="J135:J136"/>
    <mergeCell ref="K135:K136"/>
    <mergeCell ref="F60:F61"/>
    <mergeCell ref="G60:G61"/>
    <mergeCell ref="H60:H61"/>
    <mergeCell ref="I60:I61"/>
    <mergeCell ref="J60:J61"/>
    <mergeCell ref="K60:K61"/>
    <mergeCell ref="U109:U111"/>
    <mergeCell ref="V109:V111"/>
    <mergeCell ref="D142:D146"/>
    <mergeCell ref="L60:L61"/>
    <mergeCell ref="G70:G74"/>
    <mergeCell ref="U121:U123"/>
    <mergeCell ref="V121:V123"/>
    <mergeCell ref="O142:O144"/>
    <mergeCell ref="S142:S143"/>
    <mergeCell ref="U60:U61"/>
    <mergeCell ref="V60:V61"/>
    <mergeCell ref="U118:U120"/>
    <mergeCell ref="V118:V120"/>
    <mergeCell ref="P142:P143"/>
    <mergeCell ref="Q142:Q143"/>
    <mergeCell ref="R142:R143"/>
    <mergeCell ref="G142:G146"/>
    <mergeCell ref="K142:K145"/>
  </mergeCells>
  <dataValidations count="19">
    <dataValidation type="list" errorStyle="warning" allowBlank="1" showInputMessage="1" errorTitle="Ошибка" error="Выберите значение из списка" prompt="Выберите значение из списка или укажите свой вид твердых коммунальных отходов" sqref="AC190 AC197">
      <formula1>list_typeTKO</formula1>
    </dataValidation>
    <dataValidation allowBlank="1" showInputMessage="1" showErrorMessage="1" prompt="Территория действия тарифа выбирается из выпадающего списка. Доступные для выбора территории определяются на листе &quot;Территории&quot;. Для каждого вида тарифа должна указываться территория, содержащая только те МР/МО, где действует данный вид тарифа." sqref="N142:N144 N164:N166 N148:N150 N153:N155 N157:N158 N170:N172 N175:N177 N179:N180"/>
    <dataValidation type="list" allowBlank="1" showInputMessage="1" showErrorMessage="1" errorTitle="Ошибка" error="Выберите значение из списка" prompt="Выберите значение из списка" sqref="H98">
      <formula1>QRE_METHOD_LIST</formula1>
    </dataValidation>
    <dataValidation type="list" allowBlank="1" showInputMessage="1" showErrorMessage="1" errorTitle="Ошибка" error="Выберите значение из списка" prompt="Выберите значение из списка" sqref="J128:J129 J135:J136 J138">
      <formula1>kind_of_purchase_method</formula1>
    </dataValidation>
    <dataValidation allowBlank="1" showInputMessage="1" showErrorMessage="1" promptTitle="Ввод" prompt="Для выбора ИП необходимо два раза нажать левую кнопку мыши!" sqref="G60 G65"/>
    <dataValidation allowBlank="1" showInputMessage="1" showErrorMessage="1" prompt="Выберите один или несколько одновременно видов деятельности, выполнив последовательно по одному щелчку на строке с видом деятельности" sqref="F48"/>
    <dataValidation type="whole" allowBlank="1" showErrorMessage="1" errorTitle="Ошибка" error="Допускается ввод только неотрицательных целых чисел!" sqref="P48 N48 X48:Z48 R48:V48 AB48:AC48 H48:J48 AF70:AF74 AI70:AI74 AF79:AF81 AI79:AI81 AF89:AF93 AI89:AI93 AF85 AI85">
      <formula1>0</formula1>
      <formula2>9.99999999999999E+23</formula2>
    </dataValidation>
    <dataValidation type="list" allowBlank="1" showInputMessage="1" showErrorMessage="1" errorTitle="Ошибка" error="Выберите значение из списка" prompt="Выберите значение из списка" sqref="L48">
      <formula1>kind_of_power_te_unit</formula1>
    </dataValidation>
    <dataValidation allowBlank="1" showInputMessage="1" showErrorMessage="1" prompt="Изменение значения по двойному щелчоку левой кнопки мыши" sqref="J44"/>
    <dataValidation type="list" allowBlank="1" showInputMessage="1" showErrorMessage="1" sqref="I30">
      <formula1>DESCRIPTION_TERRITORY</formula1>
    </dataValidation>
    <dataValidation type="textLength" operator="lessThan" allowBlank="1" showInputMessage="1" showErrorMessage="1" error="Допускается ввод не более 900 символов!" sqref="M25 M19">
      <formula1>900</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F35 I70:J73 K60 K65 I85:J85 I89:J92">
      <formula1>"a"</formula1>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Мониторинг&quot;." sqref="K44 H52 F56">
      <formula1>900</formula1>
    </dataValidation>
    <dataValidation type="list" allowBlank="1" showInputMessage="1" showErrorMessage="1" errorTitle="Ошибка" error="Выберите значение из списка" prompt="Территория действия тарифа выбирается из выпадающего списка. Доступные для выбора территории определяются на листе &quot;Территории&quot;. Для каждого вида тарифа должна указываться территория, содержащая только те МР/МО, где действует данный вид тарифа." sqref="N182:N184">
      <formula1>DESCRIPTION_TERRITORY</formula1>
    </dataValidation>
    <dataValidation allowBlank="1" showInputMessage="1" showErrorMessage="1" prompt="Выберите виды деятельности, выполнив двойной щелчок левой кнопки мыши по ячейке." sqref="G153:G155 G160 G142:G146 G179:G180 G148:G151 G164:G168 G170:G173 G175:G177 G157:G158"/>
    <dataValidation type="decimal" allowBlank="1" showErrorMessage="1" errorTitle="Ошибка" error="Допускается ввод только неотрицательных чисел!" sqref="M48 K48 Q48 O48 Q128 O128 AC72 AE72 AC80 AE80 AE85 AE91 AC91 AC85 Q135 O135 O138 Q138">
      <formula1>0</formula1>
      <formula2>9.99999999999999E+23</formula2>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G52 T60 I60:J60 X60 T65 I65:J65 X65"/>
    <dataValidation allowBlank="1" showInputMessage="1" showErrorMessage="1" prompt="Для выбора выполните двойной щелчок левой клавиши мыши по соответствующей ячейке." sqref="K182:K183 O182:O183 S142:S143 S182:S183 O142 K142 F153:F155 S164:S165 O164 K164 F160 K148 S148:S149 O148 F142:F146 K153 S153:S154 O153 O179 K157 S157:S158 O157 F148:F151 K170 S170:S171 O170 F164:F168 F170:F173 S175:S176 O175 F175:F177 F179:F180 S179:S180 F157:F158"/>
    <dataValidation type="textLength" operator="lessThanOrEqual" allowBlank="1" showInputMessage="1" showErrorMessage="1" errorTitle="Ошибка" error="Допускается ввод не более 900 символов!" sqref="L60:M60 E8 J182:J183 R182:R183 U60:W60 V182:W182 AB60 G13 M30 E35 E39:F39 E48 E52:F52 E56 G56 Q60:S60 M70 K70:K73 V142:W142 J142:J143 R142:R143 V164:W164 J164:J165 R164:R165 AI190 J190:J194 P190:P193 AI197 J197:J201 P197:P200 E4 L65:M65 U65:W65 AB65 Q65:S65 V160:W160 J160 R160 K79:K81 M89 K89:K92 K85 V148:W148 J148:J149 R148:R149 V153:W153 J153:J154 R153:R154 V157:W157 J157:J158 R157:R158 V170:W170 J170:J171 R170:R171 V175:W175 J175:J176 R175:R176 V179:W179 J179:J180 R179:R180">
      <formula1>900</formula1>
    </dataValidation>
  </dataValidations>
  <pageMargins left="0.75" right="0.75" top="1" bottom="1" header="0.5" footer="0.5"/>
  <pageSetup paperSize="9" orientation="portrait"/>
  <headerFooter>
    <oddHeader>&amp;L&amp;C&amp;R</oddHeader>
    <oddFooter>&amp;L&amp;C&amp;R</oddFooter>
    <evenHeader>&amp;L&amp;C&amp;R</evenHeader>
    <evenFooter>&amp;L&amp;C&amp;R</evenFooter>
  </headerFooter>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39997558519241921"/>
    <pageSetUpPr fitToPage="1"/>
  </sheetPr>
  <dimension ref="A1:P31"/>
  <sheetViews>
    <sheetView showGridLines="0" topLeftCell="C4" zoomScale="90" workbookViewId="0"/>
  </sheetViews>
  <sheetFormatPr defaultColWidth="10.5703125" defaultRowHeight="14.25" customHeight="1"/>
  <cols>
    <col min="1" max="1" width="9.140625" style="1720" hidden="1" customWidth="1"/>
    <col min="2" max="2" width="9.140625" style="1742" hidden="1" customWidth="1"/>
    <col min="3" max="3" width="3.7109375" style="1674" customWidth="1"/>
    <col min="4" max="4" width="6.28515625" style="1829" customWidth="1"/>
    <col min="5" max="6" width="64.140625" style="1829" customWidth="1"/>
    <col min="7" max="7" width="141.140625" style="1829" customWidth="1"/>
    <col min="8" max="8" width="10.5703125" style="1829"/>
    <col min="9" max="10" width="10.5703125" style="1748"/>
    <col min="11" max="16" width="10.5703125" style="1829"/>
  </cols>
  <sheetData>
    <row r="1" spans="1:16" ht="14.25" hidden="1" customHeight="1">
      <c r="M1" s="174"/>
      <c r="N1" s="174"/>
      <c r="P1" s="174"/>
    </row>
    <row r="2" spans="1:16" ht="14.25" hidden="1" customHeight="1"/>
    <row r="3" spans="1:16" ht="14.25" hidden="1" customHeight="1"/>
    <row r="4" spans="1:16" ht="3" customHeight="1">
      <c r="C4" s="35"/>
      <c r="D4" s="23"/>
      <c r="E4" s="23"/>
      <c r="F4" s="24"/>
      <c r="G4" s="24"/>
    </row>
    <row r="5" spans="1:16" ht="25.5" customHeight="1">
      <c r="C5" s="35"/>
      <c r="D5" s="2000" t="str">
        <f>TERMS_NAME_FORM</f>
        <v>Форма 11. Информация об условиях, на которых осуществляется поставка товаров (оказание услуг), тарифы на которые подлежат регулированию, и (или) условиях договоров о подключении (технологическом присоединении) к централизованной системе горячего водоснабжения</v>
      </c>
      <c r="E5" s="2001"/>
      <c r="F5" s="2001"/>
      <c r="G5" s="2002"/>
    </row>
    <row r="6" spans="1:16" s="1829" customFormat="1" ht="18" customHeight="1">
      <c r="A6" s="779"/>
      <c r="B6" s="352"/>
      <c r="C6" s="304"/>
      <c r="D6" s="2112" t="str">
        <f>IF(org=0,"Не определено",org)</f>
        <v>МУП г. Астрахани "Коммунэнерго"</v>
      </c>
      <c r="E6" s="2113"/>
      <c r="F6" s="2113"/>
      <c r="G6" s="2114"/>
      <c r="I6" s="428"/>
      <c r="J6" s="428"/>
    </row>
    <row r="7" spans="1:16" ht="14.25" customHeight="1">
      <c r="C7" s="35"/>
      <c r="D7" s="23"/>
      <c r="E7" s="34"/>
      <c r="F7" s="664"/>
      <c r="G7" s="118"/>
    </row>
    <row r="8" spans="1:16" s="1829" customFormat="1" ht="0.75" customHeight="1">
      <c r="A8" s="1527"/>
      <c r="B8" s="1034"/>
      <c r="C8" s="304"/>
      <c r="D8" s="289"/>
      <c r="E8" s="321"/>
      <c r="F8" s="664"/>
      <c r="G8" s="118"/>
      <c r="I8" s="1483"/>
      <c r="J8" s="1483"/>
    </row>
    <row r="9" spans="1:16" ht="14.25" customHeight="1">
      <c r="C9" s="35"/>
      <c r="D9" s="2097" t="s">
        <v>292</v>
      </c>
      <c r="E9" s="2097"/>
      <c r="F9" s="2097"/>
      <c r="G9" s="2209" t="s">
        <v>293</v>
      </c>
    </row>
    <row r="10" spans="1:16" ht="14.25" customHeight="1">
      <c r="C10" s="35"/>
      <c r="D10" s="41" t="s">
        <v>87</v>
      </c>
      <c r="E10" s="44" t="s">
        <v>294</v>
      </c>
      <c r="F10" s="44" t="s">
        <v>384</v>
      </c>
      <c r="G10" s="2209"/>
    </row>
    <row r="11" spans="1:16" ht="12" hidden="1" customHeight="1">
      <c r="C11" s="35"/>
      <c r="D11" s="26"/>
      <c r="E11" s="26"/>
      <c r="F11" s="26"/>
      <c r="G11" s="26"/>
    </row>
    <row r="12" spans="1:16" ht="62.25" customHeight="1">
      <c r="A12" s="117"/>
      <c r="C12" s="35"/>
      <c r="D12" s="76">
        <v>1</v>
      </c>
      <c r="E12" s="121" t="str">
        <f>TERMS_P_1</f>
        <v>Сведения об условиях публичных договоров поставок товаров (оказания услуг), тарифы на которые подлежат регулированию, в том числе договоров о подключении (технологическом присоединении) к централизованной системе горячего водоснабжения</v>
      </c>
      <c r="F12" s="122" t="s">
        <v>298</v>
      </c>
      <c r="G12" s="80"/>
    </row>
    <row r="13" spans="1:16" ht="22.5" customHeight="1">
      <c r="A13" s="117"/>
      <c r="C13" s="35"/>
      <c r="D13" s="76" t="s">
        <v>620</v>
      </c>
      <c r="E13" s="119" t="str">
        <f>"Форма публичного договора "&amp;IF(TEMPLATE_SPHERE="TKO","на оказание регулируемых услуг","поставки товаров (оказания услуг)")&amp;IF(OR(TEMPLATE_SPHERE&lt;&gt;"HEAT",TEMPLATE_SPHERE&lt;&gt;"TKO"),", тарифы на которые подлежат регулированию","")</f>
        <v>Форма публичного договора поставки товаров (оказания услуг), тарифы на которые подлежат регулированию</v>
      </c>
      <c r="F13" s="122" t="s">
        <v>298</v>
      </c>
      <c r="G13" s="80"/>
    </row>
    <row r="14" spans="1:16" ht="14.25" customHeight="1">
      <c r="A14" s="117"/>
      <c r="C14" s="35"/>
      <c r="D14" s="76" t="s">
        <v>1447</v>
      </c>
      <c r="E14" s="1662"/>
      <c r="F14" s="135"/>
      <c r="G14" s="2053" t="str">
        <f>"Указывается форма "&amp;IF(TEMPLATE_SPHERE="TKO","публичного ","")&amp;"договора, "&amp;IF(TEMPLATE_SPHERE="HEAT","","используемая регулируемой организацией, ")&amp;"в виде ссылки на документ, предварительно загруженный в хранилище файлов ФГИС ЕИАС"&amp;IF(TEMPLATE_SPHERE="TKO",", либо ссылка на официальный сайт в сети ""Интернет"", на котором размещена информация","")&amp;".
В случае наличия нескольких форм таких договоров информация по каждой из них указывается в отдельной строке."</f>
        <v>Указывается форма договора, используемая регулируемой организацией, в виде ссылки на документ, предварительно загруженный в хранилище файлов ФГИС ЕИАС.
В случае наличия нескольких форм таких договоров информация по каждой из них указывается в отдельной строке.</v>
      </c>
    </row>
    <row r="15" spans="1:16" ht="15" customHeight="1">
      <c r="A15" s="117"/>
      <c r="C15" s="35"/>
      <c r="D15" s="45"/>
      <c r="E15" s="273" t="s">
        <v>1448</v>
      </c>
      <c r="F15" s="124"/>
      <c r="G15" s="2055"/>
    </row>
    <row r="16" spans="1:16" ht="14.25" customHeight="1">
      <c r="A16" s="117"/>
      <c r="C16" s="35"/>
      <c r="D16" s="76" t="s">
        <v>626</v>
      </c>
      <c r="E16" s="119" t="str">
        <f>"Договор о подключении (технологическом присоединении) к"&amp;IF(TEMPLATE_SPHERE="HEAT",""," централизованной")&amp;" системе "&amp;TEMPLATE_SPHERE_RUS</f>
        <v>Договор о подключении (технологическом присоединении) к централизованной системе горячего водоснабжения</v>
      </c>
      <c r="F16" s="122" t="s">
        <v>298</v>
      </c>
      <c r="G16" s="262"/>
    </row>
    <row r="17" spans="1:16" ht="14.25" customHeight="1">
      <c r="A17" s="117"/>
      <c r="C17" s="35"/>
      <c r="D17" s="76" t="s">
        <v>1449</v>
      </c>
      <c r="E17" s="1662"/>
      <c r="F17" s="316"/>
      <c r="G17" s="2053" t="str">
        <f>"Информация размещается в случае, если"&amp;IF(TEMPLATE_SPHERE="HEAT",""," регулируемая"&amp;" организация осуществляет услуги по подключению (технологическому присоединению) к системе "&amp;TEMPLATE_SPHERE_RUS&amp;".
Указывается ссылка на документ, предварительно загруженный в хранилище файлов ФГИС ЕИАС.
В случае наличия нескольких договоров о подключении к"&amp;IF(TEMPLATE_SPHERE="HEAT",""," централизованной"&amp;" системе "&amp;TEMPLATE_SPHERE_RUS&amp;" информация по каждому из них указывается в отдельной строке."))</f>
        <v>Информация размещается в случае, если регулируемая организация осуществляет услуги по подключению (технологическому присоединению) к системе горячего водоснабжения.
Указывается ссылка на документ, предварительно загруженный в хранилище файлов ФГИС ЕИАС.
В случае наличия нескольких договоров о подключении к централизованной системе горячего водоснабжения информация по каждому из них указывается в отдельной строке.</v>
      </c>
    </row>
    <row r="18" spans="1:16" s="1829" customFormat="1" ht="21" customHeight="1">
      <c r="A18" s="267"/>
      <c r="B18" s="75"/>
      <c r="C18" s="226"/>
      <c r="D18" s="271"/>
      <c r="E18" s="273" t="s">
        <v>1450</v>
      </c>
      <c r="F18" s="263"/>
      <c r="G18" s="2055"/>
      <c r="I18" s="274"/>
      <c r="J18" s="274"/>
    </row>
    <row r="19" spans="1:16" s="1829" customFormat="1" ht="256.5" hidden="1" customHeight="1">
      <c r="A19" s="267"/>
      <c r="B19" s="352"/>
      <c r="C19" s="304"/>
      <c r="D19" s="781" t="s">
        <v>1451</v>
      </c>
      <c r="E19" s="780" t="s">
        <v>1452</v>
      </c>
      <c r="F19" s="316"/>
      <c r="G19" s="262" t="s">
        <v>1453</v>
      </c>
      <c r="I19" s="428"/>
      <c r="J19" s="428"/>
    </row>
    <row r="20" spans="1:16" s="1829" customFormat="1" ht="14.25" customHeight="1">
      <c r="A20" s="267"/>
      <c r="B20" s="75"/>
      <c r="C20" s="226"/>
      <c r="D20" s="782">
        <v>2</v>
      </c>
      <c r="E20" s="256" t="s">
        <v>1454</v>
      </c>
      <c r="F20" s="122" t="s">
        <v>298</v>
      </c>
      <c r="G20" s="262"/>
      <c r="I20" s="274"/>
      <c r="J20" s="274"/>
    </row>
    <row r="21" spans="1:16" s="1829" customFormat="1" ht="18.75" hidden="1" customHeight="1">
      <c r="A21" s="267"/>
      <c r="B21" s="75"/>
      <c r="C21" s="226"/>
      <c r="D21" s="258" t="s">
        <v>1455</v>
      </c>
      <c r="E21" s="1663"/>
      <c r="F21" s="257"/>
      <c r="G21" s="266"/>
      <c r="H21" s="259"/>
      <c r="I21" s="274"/>
      <c r="J21" s="274"/>
    </row>
    <row r="22" spans="1:16" ht="15" customHeight="1">
      <c r="A22" s="117"/>
      <c r="C22" s="35"/>
      <c r="D22" s="45"/>
      <c r="E22" s="126" t="s">
        <v>1456</v>
      </c>
      <c r="F22" s="263"/>
      <c r="G22" s="264"/>
    </row>
    <row r="23" spans="1:16" s="1829" customFormat="1" ht="22.5" hidden="1" customHeight="1">
      <c r="A23" s="267"/>
      <c r="B23" s="1034"/>
      <c r="C23" s="304"/>
      <c r="D23" s="1531" t="s">
        <v>109</v>
      </c>
      <c r="E23" s="121" t="s">
        <v>1457</v>
      </c>
      <c r="F23" s="1528" t="s">
        <v>298</v>
      </c>
      <c r="G23" s="269"/>
      <c r="I23" s="1483"/>
      <c r="J23" s="1483"/>
    </row>
    <row r="24" spans="1:16" s="1829" customFormat="1" ht="14.25" hidden="1" customHeight="1">
      <c r="A24" s="267"/>
      <c r="B24" s="1034"/>
      <c r="C24" s="304"/>
      <c r="D24" s="1531" t="s">
        <v>505</v>
      </c>
      <c r="E24" s="1530" t="s">
        <v>1458</v>
      </c>
      <c r="F24" s="1528" t="s">
        <v>298</v>
      </c>
      <c r="G24" s="262"/>
      <c r="I24" s="1483"/>
      <c r="J24" s="1483"/>
    </row>
    <row r="25" spans="1:16" s="1829" customFormat="1" ht="14.25" hidden="1" customHeight="1">
      <c r="A25" s="267"/>
      <c r="B25" s="1034"/>
      <c r="C25" s="304"/>
      <c r="D25" s="1531" t="s">
        <v>1459</v>
      </c>
      <c r="E25" s="1662"/>
      <c r="F25" s="316"/>
      <c r="G25" s="2053" t="s">
        <v>1460</v>
      </c>
      <c r="I25" s="1483"/>
      <c r="J25" s="1483"/>
    </row>
    <row r="26" spans="1:16" s="1829" customFormat="1" ht="22.5" hidden="1" customHeight="1">
      <c r="A26" s="267"/>
      <c r="B26" s="1034"/>
      <c r="C26" s="304"/>
      <c r="D26" s="271"/>
      <c r="E26" s="273" t="s">
        <v>1461</v>
      </c>
      <c r="F26" s="263"/>
      <c r="G26" s="2055"/>
      <c r="I26" s="1483"/>
      <c r="J26" s="1483"/>
    </row>
    <row r="27" spans="1:16" ht="3" customHeight="1"/>
    <row r="28" spans="1:16" ht="14.25" customHeight="1">
      <c r="D28" s="261"/>
      <c r="E28" s="260"/>
      <c r="F28" s="237"/>
      <c r="G28" s="237"/>
      <c r="H28" s="237"/>
      <c r="I28" s="237"/>
      <c r="J28" s="237"/>
      <c r="K28" s="237"/>
      <c r="L28" s="237"/>
      <c r="M28" s="237"/>
      <c r="N28" s="237"/>
      <c r="O28" s="237"/>
      <c r="P28" s="237"/>
    </row>
    <row r="29" spans="1:16" ht="14.25" customHeight="1">
      <c r="D29" s="261"/>
      <c r="E29" s="509"/>
    </row>
    <row r="31" spans="1:16" ht="14.25" customHeight="1">
      <c r="E31" s="668"/>
    </row>
  </sheetData>
  <sheetProtection formatColumns="0" formatRows="0" insertRows="0" deleteColumns="0" deleteRows="0" sort="0" autoFilter="0"/>
  <mergeCells count="7">
    <mergeCell ref="D5:G5"/>
    <mergeCell ref="D6:G6"/>
    <mergeCell ref="G25:G26"/>
    <mergeCell ref="G17:G18"/>
    <mergeCell ref="D9:F9"/>
    <mergeCell ref="G9:G10"/>
    <mergeCell ref="G14:G15"/>
  </mergeCells>
  <dataValidations count="2">
    <dataValidation type="textLength" operator="lessThanOrEqual" allowBlank="1" showInputMessage="1" showErrorMessage="1" errorTitle="Ошибка" error="Допускается ввод не более 900 символов!" sqref="G14 G25 E17 E14 G17 G21 E25">
      <formula1>900</formula1>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Мониторинг&quot;." sqref="F14 F17:F19 F25:F26">
      <formula1>900</formula1>
    </dataValidation>
  </dataValidations>
  <printOptions horizontalCentered="1" verticalCentered="1"/>
  <pageMargins left="0" right="0" top="0" bottom="0" header="0" footer="0.79"/>
  <pageSetup paperSize="9" scale="38" fitToHeight="0" orientation="portrait" blackAndWhite="1"/>
  <headerFooter>
    <oddHeader>&amp;L&amp;C&amp;R</oddHeader>
    <oddFooter>&amp;L&amp;C&amp;R</oddFooter>
    <evenHeader>&amp;L&amp;C&amp;R</evenHeader>
    <evenFooter>&amp;L&amp;C&amp;R</evenFooter>
  </headerFooter>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39997558519241921"/>
  </sheetPr>
  <dimension ref="A1:AR64"/>
  <sheetViews>
    <sheetView showGridLines="0" topLeftCell="P25" zoomScale="90" workbookViewId="0"/>
  </sheetViews>
  <sheetFormatPr defaultColWidth="10.5703125" defaultRowHeight="14.25" customHeight="1"/>
  <cols>
    <col min="1" max="1" width="10.5703125" style="1742" hidden="1"/>
    <col min="2" max="2" width="11" style="1742" hidden="1" customWidth="1"/>
    <col min="3" max="3" width="10.5703125" style="1742" hidden="1"/>
    <col min="4" max="4" width="11.85546875" style="1742" hidden="1" customWidth="1"/>
    <col min="5" max="5" width="10" style="1742" hidden="1" customWidth="1"/>
    <col min="6" max="6" width="8.7109375" style="1742" hidden="1" customWidth="1"/>
    <col min="7" max="7" width="7.5703125" style="1742" hidden="1" customWidth="1"/>
    <col min="8" max="8" width="11.42578125" style="1742" hidden="1" customWidth="1"/>
    <col min="9" max="9" width="12" style="1742" hidden="1" customWidth="1"/>
    <col min="10" max="10" width="9.85546875" style="1742" hidden="1" customWidth="1"/>
    <col min="11" max="11" width="11.42578125" style="1742" hidden="1" customWidth="1"/>
    <col min="12" max="12" width="19.140625" style="1741" hidden="1" customWidth="1"/>
    <col min="13" max="14" width="12.28515625" style="1683" hidden="1" customWidth="1"/>
    <col min="15" max="15" width="23.42578125" style="1683" hidden="1" customWidth="1"/>
    <col min="16" max="16" width="3.7109375" style="1720" customWidth="1"/>
    <col min="17" max="18" width="3.7109375" style="1674" customWidth="1"/>
    <col min="19" max="19" width="12.7109375" style="1713" customWidth="1"/>
    <col min="20" max="20" width="35.7109375" style="1829" customWidth="1"/>
    <col min="21" max="21" width="0.140625" style="1829" customWidth="1"/>
    <col min="22" max="22" width="24.7109375" style="1829" hidden="1" customWidth="1"/>
    <col min="23" max="23" width="0.140625" style="1829" hidden="1" customWidth="1"/>
    <col min="24" max="25" width="24.7109375" style="1829" hidden="1" customWidth="1"/>
    <col min="26" max="26" width="11.7109375" style="1829" hidden="1" customWidth="1"/>
    <col min="27" max="27" width="3.7109375" style="1829" hidden="1" customWidth="1"/>
    <col min="28" max="28" width="11.7109375" style="1829" hidden="1" customWidth="1"/>
    <col min="29" max="29" width="8.5703125" style="1829" hidden="1" customWidth="1"/>
    <col min="30" max="30" width="24.7109375" style="1829" customWidth="1"/>
    <col min="31" max="31" width="0.140625" style="1829" customWidth="1"/>
    <col min="32" max="33" width="24.7109375" style="1829" customWidth="1"/>
    <col min="34" max="34" width="11.7109375" style="1829" customWidth="1"/>
    <col min="35" max="35" width="3.7109375" style="1829" customWidth="1"/>
    <col min="36" max="36" width="11.7109375" style="1829" customWidth="1"/>
    <col min="37" max="37" width="8.5703125" style="1829" hidden="1" customWidth="1"/>
    <col min="38" max="38" width="4.7109375" style="1829" customWidth="1"/>
    <col min="39" max="39" width="115.7109375" style="1829" customWidth="1"/>
    <col min="40" max="41" width="10.5703125" style="1755"/>
    <col min="42" max="42" width="11.140625" style="1755" customWidth="1"/>
    <col min="43" max="44" width="10.5703125" style="1755"/>
  </cols>
  <sheetData>
    <row r="1" spans="1:44" ht="14.25" hidden="1" customHeight="1">
      <c r="Y1" s="254"/>
      <c r="Z1" s="254"/>
      <c r="AG1" s="254"/>
      <c r="AH1" s="254"/>
    </row>
    <row r="2" spans="1:44" ht="21" hidden="1" customHeight="1">
      <c r="A2" s="1242"/>
      <c r="B2" s="1242"/>
      <c r="C2" s="1242"/>
      <c r="D2" s="1242"/>
      <c r="E2" s="2221">
        <v>1</v>
      </c>
      <c r="F2" s="1242"/>
      <c r="G2" s="1242"/>
      <c r="H2" s="1242"/>
      <c r="I2" s="1242"/>
      <c r="J2" s="1242"/>
      <c r="K2" s="1242"/>
      <c r="L2" s="1243"/>
      <c r="M2" s="1244"/>
      <c r="N2" s="1244"/>
      <c r="O2" s="1244"/>
      <c r="P2" s="285"/>
      <c r="Q2" s="284"/>
      <c r="R2" s="279"/>
      <c r="S2" s="1193" t="e">
        <f>INDEX(PT_DIFFERENTIATION_NUM_NTAR,MATCH(A2,PT_DIFFERENTIATION_NTAR_ID,0))</f>
        <v>#N/A</v>
      </c>
      <c r="T2" s="216" t="s">
        <v>124</v>
      </c>
      <c r="U2" s="218"/>
      <c r="V2" s="2215"/>
      <c r="W2" s="2216"/>
      <c r="X2" s="2216"/>
      <c r="Y2" s="2216"/>
      <c r="Z2" s="2216"/>
      <c r="AA2" s="2216"/>
      <c r="AB2" s="2216"/>
      <c r="AC2" s="2217"/>
      <c r="AD2" s="2215" t="e">
        <f>INDEX(PT_DIFFERENTIATION_NTAR,MATCH(A2,PT_DIFFERENTIATION_NTAR_ID,0))</f>
        <v>#N/A</v>
      </c>
      <c r="AE2" s="2216"/>
      <c r="AF2" s="2216"/>
      <c r="AG2" s="2216"/>
      <c r="AH2" s="2216"/>
      <c r="AI2" s="2216"/>
      <c r="AJ2" s="2216"/>
      <c r="AK2" s="2216"/>
      <c r="AL2" s="2217"/>
      <c r="AM2" s="1138" t="s">
        <v>1462</v>
      </c>
      <c r="AO2" s="428"/>
      <c r="AP2" s="428" t="str">
        <f t="shared" ref="AP2:AP15" si="0">IF(T2="","",T2)</f>
        <v>Наименование тарифа</v>
      </c>
      <c r="AQ2" s="428"/>
      <c r="AR2" s="428"/>
    </row>
    <row r="3" spans="1:44" ht="21" hidden="1" customHeight="1">
      <c r="A3" s="1242"/>
      <c r="B3" s="1242"/>
      <c r="C3" s="1242"/>
      <c r="D3" s="1242"/>
      <c r="E3" s="2222"/>
      <c r="F3" s="2221">
        <v>1</v>
      </c>
      <c r="G3" s="1242"/>
      <c r="H3" s="1242"/>
      <c r="I3" s="1242"/>
      <c r="J3" s="1242"/>
      <c r="K3" s="1242"/>
      <c r="L3" s="1243"/>
      <c r="M3" s="1244"/>
      <c r="N3" s="1244"/>
      <c r="O3" s="1244"/>
      <c r="P3" s="1189"/>
      <c r="Q3" s="276"/>
      <c r="R3" s="277"/>
      <c r="S3" s="1193" t="e">
        <f>INDEX(PT_DIFFERENTIATION_NUM_TER,MATCH(B3,PT_DIFFERENTIATION_TER_ID,0))</f>
        <v>#N/A</v>
      </c>
      <c r="T3" s="228" t="s">
        <v>1463</v>
      </c>
      <c r="U3" s="218"/>
      <c r="V3" s="2215"/>
      <c r="W3" s="2216"/>
      <c r="X3" s="2216"/>
      <c r="Y3" s="2216"/>
      <c r="Z3" s="2216"/>
      <c r="AA3" s="2216"/>
      <c r="AB3" s="2216"/>
      <c r="AC3" s="2217"/>
      <c r="AD3" s="2215" t="e">
        <f>INDEX(PT_DIFFERENTIATION_TER,MATCH(B3,PT_DIFFERENTIATION_TER_ID,0))</f>
        <v>#N/A</v>
      </c>
      <c r="AE3" s="2216"/>
      <c r="AF3" s="2216"/>
      <c r="AG3" s="2216"/>
      <c r="AH3" s="2216"/>
      <c r="AI3" s="2216"/>
      <c r="AJ3" s="2216"/>
      <c r="AK3" s="2216"/>
      <c r="AL3" s="2217"/>
      <c r="AM3" s="1138" t="s">
        <v>1464</v>
      </c>
      <c r="AO3" s="428"/>
      <c r="AP3" s="428" t="str">
        <f t="shared" si="0"/>
        <v>Территория действия тарифа</v>
      </c>
      <c r="AQ3" s="428"/>
      <c r="AR3" s="428"/>
    </row>
    <row r="4" spans="1:44" ht="23.25" hidden="1" customHeight="1">
      <c r="A4" s="1242"/>
      <c r="B4" s="1242"/>
      <c r="C4" s="1242"/>
      <c r="D4" s="1242"/>
      <c r="E4" s="2222"/>
      <c r="F4" s="2222"/>
      <c r="G4" s="2221">
        <v>1</v>
      </c>
      <c r="H4" s="1242"/>
      <c r="I4" s="1242"/>
      <c r="J4" s="1242"/>
      <c r="K4" s="1242"/>
      <c r="L4" s="1243"/>
      <c r="M4" s="1244"/>
      <c r="N4" s="1244"/>
      <c r="O4" s="1244"/>
      <c r="P4" s="278"/>
      <c r="Q4" s="276"/>
      <c r="R4" s="277"/>
      <c r="S4" s="1193" t="e">
        <f>INDEX(PT_DIFFERENTIATION_NUM_CS,MATCH(C4,PT_DIFFERENTIATION_CS_ID,0))</f>
        <v>#N/A</v>
      </c>
      <c r="T4" s="229" t="s">
        <v>1465</v>
      </c>
      <c r="U4" s="218"/>
      <c r="V4" s="2215"/>
      <c r="W4" s="2216"/>
      <c r="X4" s="2216"/>
      <c r="Y4" s="2216"/>
      <c r="Z4" s="2216"/>
      <c r="AA4" s="2216"/>
      <c r="AB4" s="2216"/>
      <c r="AC4" s="2217"/>
      <c r="AD4" s="2215" t="e">
        <f>INDEX(PT_DIFFERENTIATION_CS,MATCH(C4,PT_DIFFERENTIATION_CS_ID,0))</f>
        <v>#N/A</v>
      </c>
      <c r="AE4" s="2216"/>
      <c r="AF4" s="2216"/>
      <c r="AG4" s="2216"/>
      <c r="AH4" s="2216"/>
      <c r="AI4" s="2216"/>
      <c r="AJ4" s="2216"/>
      <c r="AK4" s="2216"/>
      <c r="AL4" s="2217"/>
      <c r="AM4" s="1138" t="s">
        <v>1466</v>
      </c>
      <c r="AO4" s="428"/>
      <c r="AP4" s="428" t="str">
        <f t="shared" si="0"/>
        <v xml:space="preserve">Наименование системы теплоснабжения </v>
      </c>
      <c r="AQ4" s="428"/>
      <c r="AR4" s="428"/>
    </row>
    <row r="5" spans="1:44" ht="21" hidden="1" customHeight="1">
      <c r="A5" s="1242"/>
      <c r="B5" s="1242"/>
      <c r="C5" s="1242"/>
      <c r="D5" s="1242"/>
      <c r="E5" s="2222"/>
      <c r="F5" s="2222"/>
      <c r="G5" s="2222"/>
      <c r="H5" s="2221">
        <v>1</v>
      </c>
      <c r="I5" s="1242"/>
      <c r="J5" s="1242"/>
      <c r="K5" s="1242"/>
      <c r="L5" s="1243"/>
      <c r="M5" s="1244"/>
      <c r="N5" s="1244"/>
      <c r="O5" s="1244"/>
      <c r="P5" s="278"/>
      <c r="Q5" s="276"/>
      <c r="R5" s="277"/>
      <c r="S5" s="1193" t="e">
        <f>INDEX(PT_DIFFERENTIATION_NUM_IST_TE,MATCH(D5,PT_DIFFERENTIATION_IST_TE_ID,0))</f>
        <v>#N/A</v>
      </c>
      <c r="T5" s="230" t="s">
        <v>1467</v>
      </c>
      <c r="U5" s="218"/>
      <c r="V5" s="2215"/>
      <c r="W5" s="2216"/>
      <c r="X5" s="2216"/>
      <c r="Y5" s="2216"/>
      <c r="Z5" s="2216"/>
      <c r="AA5" s="2216"/>
      <c r="AB5" s="2216"/>
      <c r="AC5" s="2217"/>
      <c r="AD5" s="2215" t="e">
        <f>INDEX(PT_DIFFERENTIATION_IST_TE,MATCH(D5,PT_DIFFERENTIATION_IST_TE_ID,0))</f>
        <v>#N/A</v>
      </c>
      <c r="AE5" s="2216"/>
      <c r="AF5" s="2216"/>
      <c r="AG5" s="2216"/>
      <c r="AH5" s="2216"/>
      <c r="AI5" s="2216"/>
      <c r="AJ5" s="2216"/>
      <c r="AK5" s="2216"/>
      <c r="AL5" s="2217"/>
      <c r="AM5" s="1138" t="s">
        <v>1468</v>
      </c>
      <c r="AO5" s="428"/>
      <c r="AP5" s="428" t="str">
        <f t="shared" si="0"/>
        <v xml:space="preserve">Источник тепловой энергии  </v>
      </c>
      <c r="AQ5" s="428"/>
      <c r="AR5" s="428"/>
    </row>
    <row r="6" spans="1:44" ht="47.25" hidden="1" customHeight="1">
      <c r="A6" s="1242"/>
      <c r="B6" s="1242"/>
      <c r="C6" s="1242"/>
      <c r="D6" s="1242"/>
      <c r="E6" s="2222"/>
      <c r="F6" s="2222"/>
      <c r="G6" s="2222"/>
      <c r="H6" s="2222"/>
      <c r="I6" s="2223" t="e">
        <f>S5&amp;".1"</f>
        <v>#N/A</v>
      </c>
      <c r="J6" s="1242"/>
      <c r="K6" s="1242"/>
      <c r="L6" s="1243" t="s">
        <v>1469</v>
      </c>
      <c r="M6" s="464"/>
      <c r="P6" s="2143">
        <v>1</v>
      </c>
      <c r="Q6" s="1190"/>
      <c r="R6" s="280"/>
      <c r="S6" s="1193" t="e">
        <f>$I6</f>
        <v>#N/A</v>
      </c>
      <c r="T6" s="203" t="s">
        <v>1470</v>
      </c>
      <c r="U6" s="218"/>
      <c r="V6" s="2210"/>
      <c r="W6" s="2211"/>
      <c r="X6" s="2211"/>
      <c r="Y6" s="2211"/>
      <c r="Z6" s="2211"/>
      <c r="AA6" s="2211"/>
      <c r="AB6" s="2211"/>
      <c r="AC6" s="2212"/>
      <c r="AD6" s="2210"/>
      <c r="AE6" s="2211"/>
      <c r="AF6" s="2211"/>
      <c r="AG6" s="2211"/>
      <c r="AH6" s="2211"/>
      <c r="AI6" s="2211"/>
      <c r="AJ6" s="2211"/>
      <c r="AK6" s="2211"/>
      <c r="AL6" s="2212"/>
      <c r="AM6" s="1138" t="s">
        <v>1471</v>
      </c>
      <c r="AO6" s="428"/>
      <c r="AP6" s="428" t="str">
        <f t="shared" si="0"/>
        <v>Схема подключения теплопотребляющей установки к коллектору источника тепловой энергии</v>
      </c>
      <c r="AQ6" s="428"/>
      <c r="AR6" s="428"/>
    </row>
    <row r="7" spans="1:44" ht="21" hidden="1" customHeight="1">
      <c r="A7" s="1242"/>
      <c r="B7" s="1242"/>
      <c r="C7" s="1242"/>
      <c r="D7" s="1242"/>
      <c r="E7" s="2222"/>
      <c r="F7" s="2222"/>
      <c r="G7" s="2222"/>
      <c r="H7" s="2222"/>
      <c r="I7" s="2224"/>
      <c r="J7" s="2223" t="e">
        <f>I6&amp;".1"</f>
        <v>#N/A</v>
      </c>
      <c r="K7" s="1242"/>
      <c r="L7" s="1243" t="s">
        <v>1472</v>
      </c>
      <c r="M7" s="464"/>
      <c r="N7" s="1245"/>
      <c r="P7" s="2143"/>
      <c r="Q7" s="2143">
        <v>1</v>
      </c>
      <c r="R7" s="281"/>
      <c r="S7" s="1193" t="e">
        <f>$J7</f>
        <v>#N/A</v>
      </c>
      <c r="T7" s="204" t="s">
        <v>1473</v>
      </c>
      <c r="U7" s="218"/>
      <c r="V7" s="2210"/>
      <c r="W7" s="2211"/>
      <c r="X7" s="2211"/>
      <c r="Y7" s="2211"/>
      <c r="Z7" s="2211"/>
      <c r="AA7" s="2211"/>
      <c r="AB7" s="2211"/>
      <c r="AC7" s="2212"/>
      <c r="AD7" s="2210"/>
      <c r="AE7" s="2211"/>
      <c r="AF7" s="2211"/>
      <c r="AG7" s="2211"/>
      <c r="AH7" s="2211"/>
      <c r="AI7" s="2211"/>
      <c r="AJ7" s="2211"/>
      <c r="AK7" s="2211"/>
      <c r="AL7" s="2212"/>
      <c r="AM7" s="1138" t="s">
        <v>1474</v>
      </c>
      <c r="AO7" s="428"/>
      <c r="AP7" s="428" t="str">
        <f t="shared" si="0"/>
        <v>Группа потребителей</v>
      </c>
      <c r="AQ7" s="428"/>
      <c r="AR7" s="428"/>
    </row>
    <row r="8" spans="1:44" ht="21" hidden="1" customHeight="1">
      <c r="A8" s="1242"/>
      <c r="B8" s="1242"/>
      <c r="C8" s="1242"/>
      <c r="D8" s="1242"/>
      <c r="E8" s="2222"/>
      <c r="F8" s="2222"/>
      <c r="G8" s="2222"/>
      <c r="H8" s="2222"/>
      <c r="I8" s="2224"/>
      <c r="J8" s="2224"/>
      <c r="K8" s="2223" t="e">
        <f>J7&amp;".1"</f>
        <v>#N/A</v>
      </c>
      <c r="L8" s="1243" t="s">
        <v>1475</v>
      </c>
      <c r="M8" s="464"/>
      <c r="N8" s="1245"/>
      <c r="O8" s="1245"/>
      <c r="P8" s="2143"/>
      <c r="Q8" s="2143"/>
      <c r="R8" s="281">
        <v>1</v>
      </c>
      <c r="S8" s="1193" t="e">
        <f>$K8</f>
        <v>#N/A</v>
      </c>
      <c r="T8" s="1230"/>
      <c r="U8" s="218"/>
      <c r="V8" s="1664"/>
      <c r="W8" s="1665"/>
      <c r="X8" s="1664"/>
      <c r="Y8" s="1666"/>
      <c r="Z8" s="2225"/>
      <c r="AA8" s="2017" t="s">
        <v>62</v>
      </c>
      <c r="AB8" s="2225"/>
      <c r="AC8" s="2017" t="s">
        <v>62</v>
      </c>
      <c r="AD8" s="1664"/>
      <c r="AE8" s="1665"/>
      <c r="AF8" s="1664"/>
      <c r="AG8" s="1666"/>
      <c r="AH8" s="2225"/>
      <c r="AI8" s="2017" t="s">
        <v>62</v>
      </c>
      <c r="AJ8" s="2225"/>
      <c r="AK8" s="2017" t="s">
        <v>62</v>
      </c>
      <c r="AL8" s="1665"/>
      <c r="AM8" s="2243" t="s">
        <v>1476</v>
      </c>
      <c r="AN8" s="439" t="e">
        <f ca="1">STRCHECKDATE(V9:AL9)</f>
        <v>#NAME?</v>
      </c>
      <c r="AO8" s="428"/>
      <c r="AP8" s="428" t="str">
        <f t="shared" si="0"/>
        <v/>
      </c>
      <c r="AQ8" s="428"/>
      <c r="AR8" s="428"/>
    </row>
    <row r="9" spans="1:44" ht="0.75" hidden="1" customHeight="1">
      <c r="A9" s="1242"/>
      <c r="B9" s="1242"/>
      <c r="C9" s="1242"/>
      <c r="D9" s="1242"/>
      <c r="E9" s="2222"/>
      <c r="F9" s="2222"/>
      <c r="G9" s="2222"/>
      <c r="H9" s="2222"/>
      <c r="I9" s="2224"/>
      <c r="J9" s="2224"/>
      <c r="K9" s="2223"/>
      <c r="L9" s="1243"/>
      <c r="M9" s="464"/>
      <c r="N9" s="1245"/>
      <c r="O9" s="1245"/>
      <c r="P9" s="2143"/>
      <c r="Q9" s="2143"/>
      <c r="R9" s="281"/>
      <c r="S9" s="1191"/>
      <c r="T9" s="218"/>
      <c r="U9" s="218"/>
      <c r="V9" s="1665"/>
      <c r="W9" s="1665"/>
      <c r="X9" s="1665"/>
      <c r="Y9" s="1667" t="str">
        <f>Z8&amp;"-"&amp;AB8</f>
        <v>-</v>
      </c>
      <c r="Z9" s="2226"/>
      <c r="AA9" s="2017"/>
      <c r="AB9" s="2226"/>
      <c r="AC9" s="2017"/>
      <c r="AD9" s="1665"/>
      <c r="AE9" s="1665"/>
      <c r="AF9" s="1665"/>
      <c r="AG9" s="1667" t="str">
        <f>AH8&amp;"-"&amp;AJ8</f>
        <v>-</v>
      </c>
      <c r="AH9" s="2226"/>
      <c r="AI9" s="2017"/>
      <c r="AJ9" s="2226"/>
      <c r="AK9" s="2017"/>
      <c r="AL9" s="1665"/>
      <c r="AM9" s="2244"/>
      <c r="AO9" s="428"/>
      <c r="AP9" s="428" t="str">
        <f t="shared" si="0"/>
        <v/>
      </c>
      <c r="AQ9" s="428"/>
      <c r="AR9" s="428"/>
    </row>
    <row r="10" spans="1:44" ht="15" hidden="1" customHeight="1">
      <c r="A10" s="1242"/>
      <c r="B10" s="1242"/>
      <c r="C10" s="1242"/>
      <c r="D10" s="1242"/>
      <c r="E10" s="2222"/>
      <c r="F10" s="2222"/>
      <c r="G10" s="2222"/>
      <c r="H10" s="2222"/>
      <c r="I10" s="2224"/>
      <c r="J10" s="2223"/>
      <c r="K10" s="1242"/>
      <c r="L10" s="1243"/>
      <c r="M10" s="464"/>
      <c r="N10" s="1245"/>
      <c r="P10" s="2143"/>
      <c r="Q10" s="2143"/>
      <c r="R10" s="280"/>
      <c r="S10" s="1159"/>
      <c r="T10" s="206" t="s">
        <v>1477</v>
      </c>
      <c r="U10" s="294"/>
      <c r="V10" s="294"/>
      <c r="W10" s="294"/>
      <c r="X10" s="294"/>
      <c r="Y10" s="294"/>
      <c r="Z10" s="294"/>
      <c r="AA10" s="294"/>
      <c r="AB10" s="294"/>
      <c r="AC10" s="294"/>
      <c r="AD10" s="294"/>
      <c r="AE10" s="294"/>
      <c r="AF10" s="294"/>
      <c r="AG10" s="294"/>
      <c r="AH10" s="294"/>
      <c r="AI10" s="294"/>
      <c r="AJ10" s="294"/>
      <c r="AK10" s="294"/>
      <c r="AL10" s="251"/>
      <c r="AM10" s="2245"/>
      <c r="AO10" s="428"/>
      <c r="AP10" s="428" t="str">
        <f t="shared" si="0"/>
        <v>Добавить вид теплоносителя (параметры теплоносителя)</v>
      </c>
      <c r="AQ10" s="428"/>
      <c r="AR10" s="428"/>
    </row>
    <row r="11" spans="1:44" ht="15" hidden="1" customHeight="1">
      <c r="A11" s="1242"/>
      <c r="B11" s="1242"/>
      <c r="C11" s="1242"/>
      <c r="D11" s="1242"/>
      <c r="E11" s="2222"/>
      <c r="F11" s="2222"/>
      <c r="G11" s="2222"/>
      <c r="H11" s="2222"/>
      <c r="I11" s="2223"/>
      <c r="J11" s="1242"/>
      <c r="K11" s="1242"/>
      <c r="L11" s="1243"/>
      <c r="M11" s="464"/>
      <c r="P11" s="2143"/>
      <c r="Q11" s="1190"/>
      <c r="R11" s="280"/>
      <c r="S11" s="1159"/>
      <c r="T11" s="205" t="s">
        <v>1478</v>
      </c>
      <c r="U11" s="294"/>
      <c r="V11" s="294"/>
      <c r="W11" s="294"/>
      <c r="X11" s="294"/>
      <c r="Y11" s="294"/>
      <c r="Z11" s="294"/>
      <c r="AA11" s="294"/>
      <c r="AB11" s="294"/>
      <c r="AC11" s="293"/>
      <c r="AD11" s="294"/>
      <c r="AE11" s="294"/>
      <c r="AF11" s="294"/>
      <c r="AG11" s="294"/>
      <c r="AH11" s="294"/>
      <c r="AI11" s="294"/>
      <c r="AJ11" s="294"/>
      <c r="AK11" s="293"/>
      <c r="AL11" s="294"/>
      <c r="AM11" s="221"/>
      <c r="AO11" s="428"/>
      <c r="AP11" s="428" t="str">
        <f t="shared" si="0"/>
        <v>Добавить группу потребителей</v>
      </c>
      <c r="AQ11" s="428"/>
      <c r="AR11" s="428"/>
    </row>
    <row r="12" spans="1:44" ht="14.25" hidden="1" customHeight="1">
      <c r="A12" s="1242"/>
      <c r="B12" s="1242"/>
      <c r="C12" s="1242"/>
      <c r="D12" s="1242"/>
      <c r="E12" s="2222"/>
      <c r="F12" s="2222"/>
      <c r="G12" s="2222"/>
      <c r="H12" s="2221"/>
      <c r="I12" s="1242"/>
      <c r="J12" s="1242"/>
      <c r="K12" s="1242"/>
      <c r="L12" s="1243"/>
      <c r="M12" s="1244"/>
      <c r="N12" s="1244"/>
      <c r="O12" s="464"/>
      <c r="P12" s="284"/>
      <c r="Q12" s="303"/>
      <c r="R12" s="279"/>
      <c r="S12" s="1159"/>
      <c r="T12" s="291" t="s">
        <v>1479</v>
      </c>
      <c r="U12" s="294"/>
      <c r="V12" s="294"/>
      <c r="W12" s="294"/>
      <c r="X12" s="294"/>
      <c r="Y12" s="294"/>
      <c r="Z12" s="294"/>
      <c r="AA12" s="294"/>
      <c r="AB12" s="294"/>
      <c r="AC12" s="293"/>
      <c r="AD12" s="294"/>
      <c r="AE12" s="294"/>
      <c r="AF12" s="294"/>
      <c r="AG12" s="294"/>
      <c r="AH12" s="294"/>
      <c r="AI12" s="294"/>
      <c r="AJ12" s="294"/>
      <c r="AK12" s="293"/>
      <c r="AL12" s="294"/>
      <c r="AM12" s="221"/>
      <c r="AO12" s="428"/>
      <c r="AP12" s="428" t="str">
        <f t="shared" si="0"/>
        <v>Добавить схему подключения</v>
      </c>
      <c r="AQ12" s="428"/>
      <c r="AR12" s="428"/>
    </row>
    <row r="13" spans="1:44" s="1755" customFormat="1" ht="0.75" hidden="1" customHeight="1">
      <c r="A13" s="1198"/>
      <c r="B13" s="1198"/>
      <c r="C13" s="1198"/>
      <c r="D13" s="1198"/>
      <c r="E13" s="2222"/>
      <c r="F13" s="2222"/>
      <c r="G13" s="2221"/>
      <c r="H13" s="1198"/>
      <c r="I13" s="1198"/>
      <c r="J13" s="1198"/>
      <c r="K13" s="1198"/>
      <c r="L13" s="1222"/>
      <c r="M13" s="1199"/>
      <c r="N13" s="1199"/>
      <c r="P13" s="1200"/>
      <c r="Q13" s="1201"/>
      <c r="R13" s="1200"/>
      <c r="S13" s="1202"/>
      <c r="T13" s="1203" t="s">
        <v>1438</v>
      </c>
      <c r="U13" s="1204"/>
      <c r="V13" s="1204"/>
      <c r="W13" s="1204"/>
      <c r="X13" s="1204"/>
      <c r="Y13" s="1204"/>
      <c r="Z13" s="1204"/>
      <c r="AA13" s="1204"/>
      <c r="AB13" s="1204"/>
      <c r="AC13" s="1204"/>
      <c r="AD13" s="1204"/>
      <c r="AE13" s="1204"/>
      <c r="AF13" s="1204"/>
      <c r="AG13" s="1204"/>
      <c r="AH13" s="1204"/>
      <c r="AI13" s="1204"/>
      <c r="AJ13" s="1204"/>
      <c r="AK13" s="1204"/>
      <c r="AL13" s="1204"/>
      <c r="AM13" s="1204"/>
      <c r="AO13" s="695"/>
      <c r="AP13" s="695" t="str">
        <f t="shared" si="0"/>
        <v>Добавить источник для дифференциации</v>
      </c>
      <c r="AQ13" s="695"/>
      <c r="AR13" s="695"/>
    </row>
    <row r="14" spans="1:44" s="1755" customFormat="1" ht="0.75" hidden="1" customHeight="1">
      <c r="A14" s="1198"/>
      <c r="B14" s="1198"/>
      <c r="C14" s="1198"/>
      <c r="D14" s="1198"/>
      <c r="E14" s="2222"/>
      <c r="F14" s="2221"/>
      <c r="G14" s="1198"/>
      <c r="H14" s="1198"/>
      <c r="I14" s="1198"/>
      <c r="J14" s="1198"/>
      <c r="K14" s="1198"/>
      <c r="L14" s="1222"/>
      <c r="M14" s="1205"/>
      <c r="N14" s="1205"/>
      <c r="P14" s="1200"/>
      <c r="Q14" s="1201"/>
      <c r="R14" s="1200"/>
      <c r="S14" s="1206"/>
      <c r="T14" s="1207" t="s">
        <v>1439</v>
      </c>
      <c r="U14" s="1208"/>
      <c r="V14" s="1208"/>
      <c r="W14" s="1208"/>
      <c r="X14" s="1208"/>
      <c r="Y14" s="1208"/>
      <c r="Z14" s="1208"/>
      <c r="AA14" s="1208"/>
      <c r="AB14" s="1208"/>
      <c r="AC14" s="1208"/>
      <c r="AD14" s="1208"/>
      <c r="AE14" s="1208"/>
      <c r="AF14" s="1208"/>
      <c r="AG14" s="1208"/>
      <c r="AH14" s="1208"/>
      <c r="AI14" s="1208"/>
      <c r="AJ14" s="1208"/>
      <c r="AK14" s="1208"/>
      <c r="AL14" s="1208"/>
      <c r="AM14" s="1208"/>
      <c r="AO14" s="695"/>
      <c r="AP14" s="695" t="str">
        <f t="shared" si="0"/>
        <v>Добавить централизованную систему для дифференциации</v>
      </c>
      <c r="AQ14" s="695"/>
      <c r="AR14" s="695"/>
    </row>
    <row r="15" spans="1:44" s="1755" customFormat="1" ht="0.75" hidden="1" customHeight="1">
      <c r="A15" s="1198"/>
      <c r="B15" s="1198"/>
      <c r="C15" s="1198"/>
      <c r="D15" s="1198"/>
      <c r="E15" s="2221"/>
      <c r="F15" s="1198"/>
      <c r="G15" s="1198"/>
      <c r="H15" s="1198"/>
      <c r="I15" s="1198"/>
      <c r="J15" s="1198"/>
      <c r="K15" s="1198"/>
      <c r="L15" s="1222"/>
      <c r="M15" s="1205"/>
      <c r="N15" s="1205"/>
      <c r="P15" s="1200"/>
      <c r="Q15" s="1201"/>
      <c r="R15" s="1200"/>
      <c r="S15" s="1206"/>
      <c r="T15" s="1209" t="s">
        <v>1440</v>
      </c>
      <c r="U15" s="1208"/>
      <c r="V15" s="1208"/>
      <c r="W15" s="1208"/>
      <c r="X15" s="1208"/>
      <c r="Y15" s="1208"/>
      <c r="Z15" s="1208"/>
      <c r="AA15" s="1208"/>
      <c r="AB15" s="1208"/>
      <c r="AC15" s="1208"/>
      <c r="AD15" s="1208"/>
      <c r="AE15" s="1208"/>
      <c r="AF15" s="1208"/>
      <c r="AG15" s="1208"/>
      <c r="AH15" s="1208"/>
      <c r="AI15" s="1208"/>
      <c r="AJ15" s="1208"/>
      <c r="AK15" s="1208"/>
      <c r="AL15" s="1208"/>
      <c r="AM15" s="1208"/>
      <c r="AO15" s="695"/>
      <c r="AP15" s="695" t="str">
        <f t="shared" si="0"/>
        <v>Добавить территорию для дифференциации</v>
      </c>
      <c r="AQ15" s="695"/>
      <c r="AR15" s="695"/>
    </row>
    <row r="16" spans="1:44" ht="14.25" hidden="1" customHeight="1">
      <c r="AC16" s="254"/>
      <c r="AK16" s="254"/>
    </row>
    <row r="17" spans="1:44" ht="14.25" hidden="1" customHeight="1">
      <c r="P17" s="1195"/>
      <c r="AD17" s="1668"/>
      <c r="AE17" s="1668"/>
      <c r="AF17" s="1668"/>
      <c r="AG17" s="1669"/>
      <c r="AH17" s="2219"/>
      <c r="AI17" s="2218" t="s">
        <v>62</v>
      </c>
      <c r="AJ17" s="2219"/>
      <c r="AK17" s="2218" t="s">
        <v>62</v>
      </c>
    </row>
    <row r="18" spans="1:44" ht="14.25" hidden="1" customHeight="1">
      <c r="P18" s="1195"/>
      <c r="AD18" s="1668"/>
      <c r="AE18" s="1668"/>
      <c r="AF18" s="1668"/>
      <c r="AG18" s="1667" t="str">
        <f>AH17&amp;"-"&amp;AJ17</f>
        <v>-</v>
      </c>
      <c r="AH18" s="2218"/>
      <c r="AI18" s="2218"/>
      <c r="AJ18" s="2218"/>
      <c r="AK18" s="2218"/>
    </row>
    <row r="19" spans="1:44" ht="14.25" hidden="1" customHeight="1">
      <c r="P19" s="1195"/>
      <c r="AK19" s="254"/>
    </row>
    <row r="20" spans="1:44" s="1742" customFormat="1" ht="22.5" hidden="1" customHeight="1">
      <c r="L20" s="1212"/>
      <c r="M20" s="1241"/>
      <c r="N20" s="1241"/>
      <c r="O20" s="1246" t="s">
        <v>1480</v>
      </c>
      <c r="P20" s="1241"/>
      <c r="Q20" s="1250"/>
      <c r="R20" s="1250"/>
      <c r="S20" s="643"/>
      <c r="Z20" s="1246"/>
      <c r="AB20" s="1246"/>
      <c r="AC20" s="1245"/>
      <c r="AH20" s="1246"/>
      <c r="AJ20" s="1246"/>
      <c r="AK20" s="1245"/>
      <c r="AN20" s="439"/>
      <c r="AO20" s="439"/>
      <c r="AP20" s="439"/>
      <c r="AQ20" s="439"/>
      <c r="AR20" s="439"/>
    </row>
    <row r="21" spans="1:44" s="1742" customFormat="1" ht="14.25" hidden="1" customHeight="1">
      <c r="L21" s="1212"/>
      <c r="M21" s="1241"/>
      <c r="N21" s="1241"/>
      <c r="O21" s="1241"/>
      <c r="P21" s="1241"/>
      <c r="Q21" s="1250"/>
      <c r="R21" s="1250"/>
      <c r="S21" s="643"/>
      <c r="AC21" s="1245"/>
      <c r="AK21" s="1245"/>
      <c r="AN21" s="439"/>
      <c r="AO21" s="439"/>
      <c r="AP21" s="439"/>
      <c r="AQ21" s="439"/>
      <c r="AR21" s="439"/>
    </row>
    <row r="22" spans="1:44" s="1742" customFormat="1" ht="14.25" hidden="1" customHeight="1">
      <c r="L22" s="1212"/>
      <c r="M22" s="1241"/>
      <c r="N22" s="1241"/>
      <c r="O22" s="1243" t="s">
        <v>1481</v>
      </c>
      <c r="P22" s="1241"/>
      <c r="Q22" s="1250"/>
      <c r="R22" s="1250"/>
      <c r="S22" s="643"/>
      <c r="T22" s="1034" t="s">
        <v>1482</v>
      </c>
      <c r="AA22" s="111" t="s">
        <v>1483</v>
      </c>
      <c r="AC22" s="111" t="s">
        <v>1484</v>
      </c>
      <c r="AD22" s="1034" t="s">
        <v>1482</v>
      </c>
      <c r="AI22" s="111" t="s">
        <v>1485</v>
      </c>
      <c r="AK22" s="111" t="s">
        <v>1484</v>
      </c>
      <c r="AN22" s="439"/>
      <c r="AO22" s="439"/>
      <c r="AP22" s="439"/>
      <c r="AQ22" s="439"/>
      <c r="AR22" s="439"/>
    </row>
    <row r="23" spans="1:44" ht="14.25" hidden="1" customHeight="1">
      <c r="O23" s="1243"/>
      <c r="P23" s="1195"/>
    </row>
    <row r="24" spans="1:44" ht="14.25" hidden="1" customHeight="1">
      <c r="O24" s="1243"/>
      <c r="P24" s="1195"/>
    </row>
    <row r="25" spans="1:44" ht="14.25" customHeight="1">
      <c r="Q25" s="304"/>
      <c r="R25" s="304"/>
      <c r="S25" s="1156"/>
      <c r="T25" s="289"/>
      <c r="U25" s="289"/>
      <c r="V25" s="437"/>
      <c r="W25" s="437"/>
      <c r="X25" s="437"/>
      <c r="Y25" s="437"/>
      <c r="Z25" s="437"/>
      <c r="AA25" s="437"/>
      <c r="AB25" s="437"/>
      <c r="AC25" s="437"/>
      <c r="AD25" s="437"/>
      <c r="AE25" s="437"/>
      <c r="AF25" s="437"/>
      <c r="AG25" s="437"/>
      <c r="AH25" s="437"/>
      <c r="AI25" s="437"/>
      <c r="AJ25" s="437"/>
      <c r="AK25" s="437"/>
    </row>
    <row r="26" spans="1:44" ht="64.5" customHeight="1">
      <c r="Q26" s="304"/>
      <c r="R26" s="304"/>
      <c r="S26" s="2065" t="str">
        <f>IF(TEMPLATE_GROUP="P",PT_P_FORM_HEAT_4_NAME_FORM,PT_R_FORM_HEAT_21_NAME_FORM)</f>
        <v>Форма 21. Информация о расчетной величине тарифов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 тарифов на тепловую энергию (мощность), поставляемую теплоснабжающими организациями потребителям, другим теплоснабжающим организациям, об установленной плате за услуги по поддержанию резервной тепловой мощности при отсутствии потребления тепловой энергии  &lt;1&gt;</v>
      </c>
      <c r="T26" s="2065"/>
      <c r="U26" s="2065"/>
      <c r="V26" s="2065"/>
      <c r="W26" s="2065"/>
      <c r="X26" s="2065"/>
      <c r="Y26" s="2065"/>
      <c r="Z26" s="2065"/>
      <c r="AA26" s="2065"/>
      <c r="AB26" s="2065"/>
      <c r="AC26" s="2065"/>
      <c r="AD26" s="2065"/>
      <c r="AE26" s="2065"/>
      <c r="AF26" s="2065"/>
      <c r="AG26" s="2065"/>
      <c r="AH26" s="2065"/>
      <c r="AI26" s="2065"/>
      <c r="AJ26" s="2065"/>
      <c r="AK26" s="1114"/>
    </row>
    <row r="27" spans="1:44" ht="14.25" customHeight="1">
      <c r="Q27" s="304"/>
      <c r="R27" s="304"/>
      <c r="S27" s="2088" t="str">
        <f>IF(org=0,"Не определено",org)</f>
        <v>МУП г. Астрахани "Коммунэнерго"</v>
      </c>
      <c r="T27" s="2088"/>
      <c r="U27" s="2088"/>
      <c r="V27" s="2088"/>
      <c r="W27" s="2088"/>
      <c r="X27" s="2088"/>
      <c r="Y27" s="2088"/>
      <c r="Z27" s="2088"/>
      <c r="AA27" s="2088"/>
      <c r="AB27" s="2088"/>
      <c r="AC27" s="2088"/>
      <c r="AD27" s="2088"/>
      <c r="AE27" s="2088"/>
      <c r="AF27" s="2088"/>
      <c r="AG27" s="2088"/>
      <c r="AH27" s="2088"/>
      <c r="AI27" s="2088"/>
      <c r="AJ27" s="2088"/>
      <c r="AK27" s="1114"/>
    </row>
    <row r="28" spans="1:44" ht="14.25" hidden="1" customHeight="1">
      <c r="Q28" s="304"/>
      <c r="R28" s="304"/>
      <c r="S28" s="1156"/>
      <c r="T28" s="289"/>
      <c r="U28" s="289"/>
      <c r="V28" s="248"/>
      <c r="W28" s="248"/>
      <c r="X28" s="248"/>
      <c r="Y28" s="248"/>
      <c r="Z28" s="248"/>
      <c r="AA28" s="248"/>
      <c r="AB28" s="248"/>
      <c r="AC28" s="248"/>
      <c r="AD28" s="248"/>
      <c r="AE28" s="248"/>
      <c r="AF28" s="248"/>
      <c r="AG28" s="248"/>
      <c r="AH28" s="248"/>
      <c r="AI28" s="248"/>
      <c r="AJ28" s="248"/>
      <c r="AK28" s="248"/>
      <c r="AL28" s="437"/>
    </row>
    <row r="29" spans="1:44" s="1933" customFormat="1" ht="25.5" hidden="1" customHeight="1">
      <c r="A29" s="1247"/>
      <c r="B29" s="1247"/>
      <c r="C29" s="1247"/>
      <c r="D29" s="1247"/>
      <c r="E29" s="1247"/>
      <c r="F29" s="1247"/>
      <c r="G29" s="1247"/>
      <c r="H29" s="1247"/>
      <c r="I29" s="1247"/>
      <c r="J29" s="1247"/>
      <c r="K29" s="1247"/>
      <c r="L29" s="1248"/>
      <c r="M29" s="1247"/>
      <c r="N29" s="1247"/>
      <c r="O29" s="1247"/>
      <c r="S29" s="2213" t="s">
        <v>38</v>
      </c>
      <c r="T29" s="2213"/>
      <c r="U29" s="1251"/>
      <c r="V29" s="2214" t="str">
        <f>IF(TITLE_NAME_OR_PR_CHANGE="",IF(TITLE_NAME_OR_PR="","",TITLE_NAME_OR_PR),TITLE_NAME_OR_PR_CHANGE)</f>
        <v/>
      </c>
      <c r="W29" s="2214"/>
      <c r="X29" s="2214"/>
      <c r="Y29" s="2214"/>
      <c r="Z29" s="2214"/>
      <c r="AA29" s="2214"/>
      <c r="AB29" s="2214"/>
      <c r="AC29" s="253"/>
      <c r="AD29" s="2214" t="str">
        <f>IF(TITLE_NAME_OR_PR_CHANGE="",IF(TITLE_NAME_OR_PR="","",TITLE_NAME_OR_PR),TITLE_NAME_OR_PR_CHANGE)</f>
        <v/>
      </c>
      <c r="AE29" s="2214"/>
      <c r="AF29" s="2214"/>
      <c r="AG29" s="2214"/>
      <c r="AH29" s="2214"/>
      <c r="AI29" s="2214"/>
      <c r="AJ29" s="2214"/>
      <c r="AK29" s="253"/>
      <c r="AL29" s="253"/>
      <c r="AM29" s="199"/>
      <c r="AN29" s="295"/>
      <c r="AO29" s="295"/>
      <c r="AP29" s="295"/>
      <c r="AQ29" s="295"/>
      <c r="AR29" s="295"/>
    </row>
    <row r="30" spans="1:44" s="1933" customFormat="1" ht="18.75" hidden="1" customHeight="1">
      <c r="A30" s="1247"/>
      <c r="B30" s="1247"/>
      <c r="C30" s="1247"/>
      <c r="D30" s="1247"/>
      <c r="E30" s="1247"/>
      <c r="F30" s="1247"/>
      <c r="G30" s="1247"/>
      <c r="H30" s="1247"/>
      <c r="I30" s="1247"/>
      <c r="J30" s="1247"/>
      <c r="K30" s="1247"/>
      <c r="L30" s="1248"/>
      <c r="M30" s="1247"/>
      <c r="N30" s="1247"/>
      <c r="O30" s="1247"/>
      <c r="S30" s="2213" t="s">
        <v>1486</v>
      </c>
      <c r="T30" s="2213"/>
      <c r="U30" s="1251"/>
      <c r="V30" s="2214" t="str">
        <f>IF(TITLE_DATE_CHANGE_PERIOD="",IF(TITLE_DATE_PR="","",TITLE_DATE_PR),TITLE_DATE_CHANGE_PERIOD)</f>
        <v/>
      </c>
      <c r="W30" s="2214"/>
      <c r="X30" s="2214"/>
      <c r="Y30" s="2214"/>
      <c r="Z30" s="2214"/>
      <c r="AA30" s="2214"/>
      <c r="AB30" s="2214"/>
      <c r="AC30" s="253"/>
      <c r="AD30" s="2214" t="str">
        <f>IF(TITLE_DATE_CHANGE_PERIOD="",IF(TITLE_DATE_PR="","",TITLE_DATE_PR),TITLE_DATE_CHANGE_PERIOD)</f>
        <v/>
      </c>
      <c r="AE30" s="2214"/>
      <c r="AF30" s="2214"/>
      <c r="AG30" s="2214"/>
      <c r="AH30" s="2214"/>
      <c r="AI30" s="2214"/>
      <c r="AJ30" s="2214"/>
      <c r="AK30" s="253"/>
      <c r="AL30" s="253"/>
      <c r="AM30" s="199"/>
      <c r="AN30" s="295"/>
      <c r="AO30" s="295"/>
      <c r="AP30" s="295"/>
      <c r="AQ30" s="295"/>
      <c r="AR30" s="295"/>
    </row>
    <row r="31" spans="1:44" s="1933" customFormat="1" ht="18.75" hidden="1" customHeight="1">
      <c r="A31" s="1247"/>
      <c r="B31" s="1247"/>
      <c r="C31" s="1247"/>
      <c r="D31" s="1247"/>
      <c r="E31" s="1247"/>
      <c r="F31" s="1247"/>
      <c r="G31" s="1247"/>
      <c r="H31" s="1247"/>
      <c r="I31" s="1247"/>
      <c r="J31" s="1247"/>
      <c r="K31" s="1247"/>
      <c r="L31" s="1248"/>
      <c r="M31" s="1247"/>
      <c r="N31" s="1247"/>
      <c r="O31" s="1247"/>
      <c r="S31" s="2213" t="s">
        <v>1487</v>
      </c>
      <c r="T31" s="2213"/>
      <c r="U31" s="1251"/>
      <c r="V31" s="2214" t="str">
        <f>IF(TITLE_NUMBER_PR_CHANGE="",IF(TITLE_NUMBER_PR="","",TITLE_NUMBER_PR),TITLE_NUMBER_PR_CHANGE)</f>
        <v/>
      </c>
      <c r="W31" s="2214"/>
      <c r="X31" s="2214"/>
      <c r="Y31" s="2214"/>
      <c r="Z31" s="2214"/>
      <c r="AA31" s="2214"/>
      <c r="AB31" s="2214"/>
      <c r="AC31" s="253"/>
      <c r="AD31" s="2214" t="str">
        <f>IF(TITLE_NUMBER_PR_CHANGE="",IF(TITLE_NUMBER_PR="","",TITLE_NUMBER_PR),TITLE_NUMBER_PR_CHANGE)</f>
        <v/>
      </c>
      <c r="AE31" s="2214"/>
      <c r="AF31" s="2214"/>
      <c r="AG31" s="2214"/>
      <c r="AH31" s="2214"/>
      <c r="AI31" s="2214"/>
      <c r="AJ31" s="2214"/>
      <c r="AK31" s="253"/>
      <c r="AL31" s="253"/>
      <c r="AM31" s="199"/>
      <c r="AN31" s="295"/>
      <c r="AO31" s="295"/>
      <c r="AP31" s="295"/>
      <c r="AQ31" s="295"/>
      <c r="AR31" s="295"/>
    </row>
    <row r="32" spans="1:44" s="1933" customFormat="1" ht="18.75" hidden="1" customHeight="1">
      <c r="A32" s="1247"/>
      <c r="B32" s="1247"/>
      <c r="C32" s="1247"/>
      <c r="D32" s="1247"/>
      <c r="E32" s="1247"/>
      <c r="F32" s="1247"/>
      <c r="G32" s="1247"/>
      <c r="H32" s="1247"/>
      <c r="I32" s="1247"/>
      <c r="J32" s="1247"/>
      <c r="K32" s="1247"/>
      <c r="L32" s="1248"/>
      <c r="M32" s="1247"/>
      <c r="N32" s="1247"/>
      <c r="O32" s="1247"/>
      <c r="S32" s="2213" t="s">
        <v>39</v>
      </c>
      <c r="T32" s="2213"/>
      <c r="U32" s="1251"/>
      <c r="V32" s="2214" t="str">
        <f>IF(TITLE_IST_PUB_CHANGE="",IF(TITLE_IST_PUB="","",TITLE_IST_PUB),TITLE_IST_PUB_CHANGE)</f>
        <v/>
      </c>
      <c r="W32" s="2214"/>
      <c r="X32" s="2214"/>
      <c r="Y32" s="2214"/>
      <c r="Z32" s="2214"/>
      <c r="AA32" s="2214"/>
      <c r="AB32" s="2214"/>
      <c r="AC32" s="253"/>
      <c r="AD32" s="2214" t="str">
        <f>IF(TITLE_IST_PUB_CHANGE="",IF(TITLE_IST_PUB="","",TITLE_IST_PUB),TITLE_IST_PUB_CHANGE)</f>
        <v/>
      </c>
      <c r="AE32" s="2214"/>
      <c r="AF32" s="2214"/>
      <c r="AG32" s="2214"/>
      <c r="AH32" s="2214"/>
      <c r="AI32" s="2214"/>
      <c r="AJ32" s="2214"/>
      <c r="AK32" s="253"/>
      <c r="AL32" s="253"/>
      <c r="AM32" s="199"/>
      <c r="AN32" s="295"/>
      <c r="AO32" s="295"/>
      <c r="AP32" s="295"/>
      <c r="AQ32" s="295"/>
      <c r="AR32" s="295"/>
    </row>
    <row r="33" spans="1:44" ht="14.25" hidden="1" customHeight="1">
      <c r="P33" s="1211"/>
      <c r="Q33" s="304"/>
      <c r="R33" s="304"/>
      <c r="S33" s="1156"/>
      <c r="T33" s="289"/>
      <c r="U33" s="289"/>
      <c r="V33" s="248"/>
      <c r="W33" s="248"/>
      <c r="X33" s="248"/>
      <c r="Y33" s="248"/>
      <c r="Z33" s="248"/>
      <c r="AA33" s="248"/>
      <c r="AB33" s="248"/>
      <c r="AC33" s="248"/>
      <c r="AD33" s="248"/>
      <c r="AE33" s="248"/>
      <c r="AF33" s="248"/>
      <c r="AG33" s="248"/>
      <c r="AH33" s="248"/>
      <c r="AI33" s="248"/>
      <c r="AJ33" s="248"/>
      <c r="AK33" s="248"/>
      <c r="AL33" s="437"/>
    </row>
    <row r="34" spans="1:44" s="1933" customFormat="1" ht="18.75" hidden="1" customHeight="1">
      <c r="A34" s="1247"/>
      <c r="B34" s="1247"/>
      <c r="C34" s="1247"/>
      <c r="D34" s="1247"/>
      <c r="E34" s="1247"/>
      <c r="F34" s="1247"/>
      <c r="G34" s="1247"/>
      <c r="H34" s="1247"/>
      <c r="I34" s="1247"/>
      <c r="J34" s="1247"/>
      <c r="K34" s="1247"/>
      <c r="L34" s="1248"/>
      <c r="M34" s="1247"/>
      <c r="N34" s="1247"/>
      <c r="O34" s="1247"/>
      <c r="S34" s="2213" t="s">
        <v>1488</v>
      </c>
      <c r="T34" s="2213"/>
      <c r="U34" s="1251"/>
      <c r="V34" s="2214" t="str">
        <f>IF(TITLE_DATE_CHANGE_PERIOD="",IF(TITLE_DATE_PR="","",TITLE_DATE_PR),TITLE_DATE_CHANGE_PERIOD)</f>
        <v/>
      </c>
      <c r="W34" s="2214"/>
      <c r="X34" s="2214"/>
      <c r="Y34" s="2214"/>
      <c r="Z34" s="2214"/>
      <c r="AA34" s="2214"/>
      <c r="AB34" s="2214"/>
      <c r="AC34" s="253"/>
      <c r="AD34" s="2214" t="str">
        <f>IF(TITLE_DATE_CHANGE_PERIOD="",IF(TITLE_DATE_PR="","",TITLE_DATE_PR),TITLE_DATE_CHANGE_PERIOD)</f>
        <v/>
      </c>
      <c r="AE34" s="2214"/>
      <c r="AF34" s="2214"/>
      <c r="AG34" s="2214"/>
      <c r="AH34" s="2214"/>
      <c r="AI34" s="2214"/>
      <c r="AJ34" s="2214"/>
      <c r="AK34" s="253"/>
      <c r="AL34" s="253"/>
      <c r="AM34" s="199"/>
      <c r="AN34" s="295"/>
      <c r="AO34" s="295"/>
      <c r="AP34" s="295"/>
      <c r="AQ34" s="295"/>
      <c r="AR34" s="295"/>
    </row>
    <row r="35" spans="1:44" s="1933" customFormat="1" ht="18.75" hidden="1" customHeight="1">
      <c r="A35" s="1247"/>
      <c r="B35" s="1247"/>
      <c r="C35" s="1247"/>
      <c r="D35" s="1247"/>
      <c r="E35" s="1247"/>
      <c r="F35" s="1247"/>
      <c r="G35" s="1247"/>
      <c r="H35" s="1247"/>
      <c r="I35" s="1247"/>
      <c r="J35" s="1247"/>
      <c r="K35" s="1247"/>
      <c r="L35" s="1248"/>
      <c r="M35" s="1247"/>
      <c r="N35" s="1247"/>
      <c r="O35" s="1247"/>
      <c r="S35" s="2213" t="s">
        <v>1489</v>
      </c>
      <c r="T35" s="2213"/>
      <c r="U35" s="1251"/>
      <c r="V35" s="2214" t="str">
        <f>IF(TITLE_NUMBER_PR_CHANGE="",IF(TITLE_NUMBER_PR="","",TITLE_NUMBER_PR),TITLE_NUMBER_PR_CHANGE)</f>
        <v/>
      </c>
      <c r="W35" s="2214"/>
      <c r="X35" s="2214"/>
      <c r="Y35" s="2214"/>
      <c r="Z35" s="2214"/>
      <c r="AA35" s="2214"/>
      <c r="AB35" s="2214"/>
      <c r="AC35" s="253"/>
      <c r="AD35" s="2214" t="str">
        <f>IF(TITLE_NUMBER_PR_CHANGE="",IF(TITLE_NUMBER_PR="","",TITLE_NUMBER_PR),TITLE_NUMBER_PR_CHANGE)</f>
        <v/>
      </c>
      <c r="AE35" s="2214"/>
      <c r="AF35" s="2214"/>
      <c r="AG35" s="2214"/>
      <c r="AH35" s="2214"/>
      <c r="AI35" s="2214"/>
      <c r="AJ35" s="2214"/>
      <c r="AK35" s="253"/>
      <c r="AL35" s="253"/>
      <c r="AM35" s="199"/>
      <c r="AN35" s="295"/>
      <c r="AO35" s="295"/>
      <c r="AP35" s="295"/>
      <c r="AQ35" s="295"/>
      <c r="AR35" s="295"/>
    </row>
    <row r="36" spans="1:44" s="1933" customFormat="1" ht="0" hidden="1" customHeight="1">
      <c r="A36" s="1247"/>
      <c r="B36" s="1247"/>
      <c r="C36" s="1247"/>
      <c r="D36" s="1247"/>
      <c r="E36" s="1247"/>
      <c r="F36" s="1247"/>
      <c r="G36" s="1247"/>
      <c r="H36" s="1247"/>
      <c r="I36" s="1247"/>
      <c r="J36" s="1247"/>
      <c r="K36" s="1247"/>
      <c r="L36" s="1248"/>
      <c r="M36" s="1247"/>
      <c r="N36" s="1247"/>
      <c r="O36" s="1247"/>
      <c r="S36" s="250"/>
      <c r="T36" s="250"/>
      <c r="U36" s="1086"/>
      <c r="V36" s="253"/>
      <c r="W36" s="253"/>
      <c r="X36" s="253"/>
      <c r="Y36" s="253"/>
      <c r="Z36" s="253"/>
      <c r="AA36" s="253"/>
      <c r="AB36" s="253"/>
      <c r="AC36" s="197" t="s">
        <v>1490</v>
      </c>
      <c r="AD36" s="253"/>
      <c r="AE36" s="253"/>
      <c r="AF36" s="253"/>
      <c r="AG36" s="253"/>
      <c r="AH36" s="253"/>
      <c r="AI36" s="253"/>
      <c r="AJ36" s="253"/>
      <c r="AK36" s="197" t="s">
        <v>1490</v>
      </c>
      <c r="AN36" s="295"/>
      <c r="AO36" s="295"/>
      <c r="AP36" s="295"/>
      <c r="AQ36" s="295"/>
      <c r="AR36" s="295"/>
    </row>
    <row r="37" spans="1:44" ht="14.25" customHeight="1">
      <c r="Q37" s="304"/>
      <c r="R37" s="304"/>
      <c r="S37" s="1156"/>
      <c r="T37" s="289"/>
      <c r="U37" s="1115"/>
      <c r="V37" s="2232"/>
      <c r="W37" s="2232"/>
      <c r="X37" s="2232"/>
      <c r="Y37" s="2232"/>
      <c r="Z37" s="2232"/>
      <c r="AA37" s="2232"/>
      <c r="AB37" s="2232"/>
      <c r="AC37" s="2232"/>
      <c r="AD37" s="2232"/>
      <c r="AE37" s="2232"/>
      <c r="AF37" s="2232"/>
      <c r="AG37" s="2232"/>
      <c r="AH37" s="2232"/>
      <c r="AI37" s="2232"/>
      <c r="AJ37" s="2232"/>
      <c r="AK37" s="2232"/>
    </row>
    <row r="38" spans="1:44" ht="14.25" customHeight="1">
      <c r="Q38" s="304"/>
      <c r="R38" s="304"/>
      <c r="S38" s="2007" t="s">
        <v>292</v>
      </c>
      <c r="T38" s="2007"/>
      <c r="U38" s="2007"/>
      <c r="V38" s="2007"/>
      <c r="W38" s="2007"/>
      <c r="X38" s="2007"/>
      <c r="Y38" s="2007"/>
      <c r="Z38" s="2007"/>
      <c r="AA38" s="2007"/>
      <c r="AB38" s="2007"/>
      <c r="AC38" s="2007"/>
      <c r="AD38" s="2007"/>
      <c r="AE38" s="2007"/>
      <c r="AF38" s="2007"/>
      <c r="AG38" s="2007"/>
      <c r="AH38" s="2007"/>
      <c r="AI38" s="2007"/>
      <c r="AJ38" s="2007"/>
      <c r="AK38" s="2007"/>
      <c r="AL38" s="2007"/>
      <c r="AM38" s="2007" t="s">
        <v>293</v>
      </c>
    </row>
    <row r="39" spans="1:44" ht="14.25" customHeight="1">
      <c r="Q39" s="304"/>
      <c r="R39" s="304"/>
      <c r="S39" s="2233" t="s">
        <v>87</v>
      </c>
      <c r="T39" s="2097" t="s">
        <v>1491</v>
      </c>
      <c r="U39" s="219"/>
      <c r="V39" s="2234" t="s">
        <v>1492</v>
      </c>
      <c r="W39" s="2235"/>
      <c r="X39" s="2235"/>
      <c r="Y39" s="2235"/>
      <c r="Z39" s="2235"/>
      <c r="AA39" s="2235"/>
      <c r="AB39" s="2236"/>
      <c r="AC39" s="2237" t="s">
        <v>1493</v>
      </c>
      <c r="AD39" s="2234" t="s">
        <v>1492</v>
      </c>
      <c r="AE39" s="2235"/>
      <c r="AF39" s="2235"/>
      <c r="AG39" s="2235"/>
      <c r="AH39" s="2235"/>
      <c r="AI39" s="2235"/>
      <c r="AJ39" s="2236"/>
      <c r="AK39" s="2237" t="s">
        <v>1494</v>
      </c>
      <c r="AL39" s="2240" t="s">
        <v>1495</v>
      </c>
      <c r="AM39" s="2007"/>
    </row>
    <row r="40" spans="1:44" ht="33.75" customHeight="1">
      <c r="Q40" s="304"/>
      <c r="R40" s="304"/>
      <c r="S40" s="2233"/>
      <c r="T40" s="2097"/>
      <c r="U40" s="924"/>
      <c r="V40" s="2066" t="s">
        <v>1496</v>
      </c>
      <c r="W40" s="2229" t="s">
        <v>1497</v>
      </c>
      <c r="X40" s="1989" t="s">
        <v>1498</v>
      </c>
      <c r="Y40" s="1988"/>
      <c r="Z40" s="1989" t="s">
        <v>1499</v>
      </c>
      <c r="AA40" s="1994"/>
      <c r="AB40" s="1988"/>
      <c r="AC40" s="2238"/>
      <c r="AD40" s="2066" t="s">
        <v>1496</v>
      </c>
      <c r="AE40" s="2229" t="s">
        <v>1497</v>
      </c>
      <c r="AF40" s="1989" t="s">
        <v>1498</v>
      </c>
      <c r="AG40" s="1988"/>
      <c r="AH40" s="1989" t="s">
        <v>1499</v>
      </c>
      <c r="AI40" s="1994"/>
      <c r="AJ40" s="1988"/>
      <c r="AK40" s="2238"/>
      <c r="AL40" s="2241"/>
      <c r="AM40" s="2007"/>
    </row>
    <row r="41" spans="1:44" ht="33.75" customHeight="1">
      <c r="A41" s="1249"/>
      <c r="B41" s="1249" t="s">
        <v>136</v>
      </c>
      <c r="C41" s="1249" t="s">
        <v>137</v>
      </c>
      <c r="D41" s="1249" t="s">
        <v>138</v>
      </c>
      <c r="E41" s="1243" t="s">
        <v>1500</v>
      </c>
      <c r="F41" s="1243" t="s">
        <v>1501</v>
      </c>
      <c r="G41" s="1243" t="s">
        <v>1502</v>
      </c>
      <c r="H41" s="1243" t="s">
        <v>1503</v>
      </c>
      <c r="I41" s="1243" t="s">
        <v>1504</v>
      </c>
      <c r="J41" s="1243" t="s">
        <v>1505</v>
      </c>
      <c r="K41" s="1243" t="s">
        <v>1506</v>
      </c>
      <c r="L41" s="1243" t="s">
        <v>1481</v>
      </c>
      <c r="Q41" s="304"/>
      <c r="R41" s="304"/>
      <c r="S41" s="2233"/>
      <c r="T41" s="2097"/>
      <c r="U41" s="220"/>
      <c r="V41" s="2122"/>
      <c r="W41" s="2230"/>
      <c r="X41" s="1090" t="s">
        <v>1507</v>
      </c>
      <c r="Y41" s="1090" t="s">
        <v>1508</v>
      </c>
      <c r="Z41" s="1089" t="s">
        <v>1509</v>
      </c>
      <c r="AA41" s="2103" t="s">
        <v>1510</v>
      </c>
      <c r="AB41" s="2117"/>
      <c r="AC41" s="2239"/>
      <c r="AD41" s="2122"/>
      <c r="AE41" s="2230"/>
      <c r="AF41" s="1090" t="s">
        <v>1507</v>
      </c>
      <c r="AG41" s="1090" t="s">
        <v>1508</v>
      </c>
      <c r="AH41" s="1197" t="s">
        <v>1509</v>
      </c>
      <c r="AI41" s="2103" t="s">
        <v>1510</v>
      </c>
      <c r="AJ41" s="2117"/>
      <c r="AK41" s="2239"/>
      <c r="AL41" s="2242"/>
      <c r="AM41" s="2007"/>
    </row>
    <row r="42" spans="1:44" s="1708" customFormat="1" ht="11.25" hidden="1" customHeight="1">
      <c r="A42" s="1249"/>
      <c r="B42" s="1249"/>
      <c r="C42" s="1249"/>
      <c r="D42" s="1249"/>
      <c r="E42" s="1249"/>
      <c r="F42" s="1249"/>
      <c r="G42" s="1249"/>
      <c r="H42" s="1249"/>
      <c r="I42" s="1249"/>
      <c r="J42" s="1249"/>
      <c r="K42" s="1249"/>
      <c r="L42" s="1243"/>
      <c r="M42" s="1241"/>
      <c r="N42" s="1241"/>
      <c r="O42" s="1241"/>
      <c r="P42" s="1117"/>
      <c r="Q42" s="1118"/>
      <c r="R42" s="1133">
        <v>1</v>
      </c>
      <c r="S42" s="1158" t="s">
        <v>108</v>
      </c>
      <c r="T42" s="1134" t="s">
        <v>109</v>
      </c>
      <c r="U42" s="1116" t="str">
        <f ca="1">OFFSET(U42,0,-1)</f>
        <v>2</v>
      </c>
      <c r="V42" s="1135">
        <f ca="1">OFFSET(V42,0,-1)+1</f>
        <v>3</v>
      </c>
      <c r="W42" s="1135"/>
      <c r="X42" s="1135">
        <f ca="1">OFFSET(X42,0,-1)+1</f>
        <v>1</v>
      </c>
      <c r="Y42" s="1135">
        <f ca="1">OFFSET(Y42,0,-1)+1</f>
        <v>2</v>
      </c>
      <c r="Z42" s="1135">
        <f ca="1">OFFSET(Z42,0,-1)+1</f>
        <v>3</v>
      </c>
      <c r="AA42" s="2231">
        <f ca="1">OFFSET(AA42,0,-1)+1</f>
        <v>4</v>
      </c>
      <c r="AB42" s="2231"/>
      <c r="AC42" s="1135">
        <f ca="1">OFFSET(AC42,0,-2)+1</f>
        <v>5</v>
      </c>
      <c r="AD42" s="1196">
        <f ca="1">OFFSET(AD42,0,-1)+1</f>
        <v>6</v>
      </c>
      <c r="AE42" s="1196"/>
      <c r="AF42" s="1196">
        <f ca="1">OFFSET(AF42,0,-1)+1</f>
        <v>1</v>
      </c>
      <c r="AG42" s="1196">
        <f ca="1">OFFSET(AG42,0,-1)+1</f>
        <v>2</v>
      </c>
      <c r="AH42" s="1196">
        <f ca="1">OFFSET(AH42,0,-1)+1</f>
        <v>3</v>
      </c>
      <c r="AI42" s="2231">
        <f ca="1">OFFSET(AI42,0,-1)+1</f>
        <v>4</v>
      </c>
      <c r="AJ42" s="2231"/>
      <c r="AK42" s="1196">
        <f ca="1">OFFSET(AK42,0,-2)+1</f>
        <v>5</v>
      </c>
      <c r="AL42" s="1116">
        <f ca="1">OFFSET(AL42,0,-1)</f>
        <v>5</v>
      </c>
      <c r="AM42" s="1135">
        <f ca="1">OFFSET(AM42,0,-1)+1</f>
        <v>6</v>
      </c>
      <c r="AN42" s="439"/>
      <c r="AO42" s="439"/>
      <c r="AP42" s="439"/>
      <c r="AQ42" s="439"/>
      <c r="AR42" s="439"/>
    </row>
    <row r="43" spans="1:44" ht="23.25" customHeight="1">
      <c r="A43" s="1242" t="s">
        <v>157</v>
      </c>
      <c r="B43" s="1242"/>
      <c r="C43" s="1242"/>
      <c r="D43" s="1242"/>
      <c r="E43" s="2221">
        <v>1</v>
      </c>
      <c r="F43" s="1242"/>
      <c r="G43" s="1242"/>
      <c r="H43" s="1242"/>
      <c r="I43" s="1242"/>
      <c r="J43" s="1242"/>
      <c r="K43" s="1242"/>
      <c r="L43" s="1243"/>
      <c r="M43" s="1244"/>
      <c r="N43" s="1244"/>
      <c r="O43" s="1244"/>
      <c r="P43" s="285"/>
      <c r="Q43" s="284"/>
      <c r="R43" s="279"/>
      <c r="S43" s="1094">
        <f>INDEX(PT_DIFFERENTIATION_NUM_NTAR,MATCH(A43,PT_DIFFERENTIATION_NTAR_ID,0))</f>
        <v>0</v>
      </c>
      <c r="T43" s="216" t="s">
        <v>124</v>
      </c>
      <c r="U43" s="218"/>
      <c r="V43" s="2215"/>
      <c r="W43" s="2216"/>
      <c r="X43" s="2216"/>
      <c r="Y43" s="2216"/>
      <c r="Z43" s="2216"/>
      <c r="AA43" s="2216"/>
      <c r="AB43" s="2216"/>
      <c r="AC43" s="2217"/>
      <c r="AD43" s="2215" t="str">
        <f>INDEX(PT_DIFFERENTIATION_NTAR,MATCH(A43,PT_DIFFERENTIATION_NTAR_ID,0))</f>
        <v/>
      </c>
      <c r="AE43" s="2216"/>
      <c r="AF43" s="2216"/>
      <c r="AG43" s="2216"/>
      <c r="AH43" s="2216"/>
      <c r="AI43" s="2216"/>
      <c r="AJ43" s="2216"/>
      <c r="AK43" s="2216"/>
      <c r="AL43" s="2217"/>
      <c r="AM43" s="1138" t="str">
        <f>"Указывается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Указывается наименование тарифа в случае предложения нескольких тарифов.
В случае наличия нескольких тарифов информация по ним указывается в отдельных строках.</v>
      </c>
      <c r="AO43" s="428"/>
      <c r="AP43" s="428" t="str">
        <f t="shared" ref="AP43:AP57" si="1">IF(T43="","",T43)</f>
        <v>Наименование тарифа</v>
      </c>
      <c r="AQ43" s="428"/>
      <c r="AR43" s="428"/>
    </row>
    <row r="44" spans="1:44" ht="23.25" customHeight="1">
      <c r="A44" s="1242" t="s">
        <v>157</v>
      </c>
      <c r="B44" s="1242" t="s">
        <v>158</v>
      </c>
      <c r="C44" s="1242"/>
      <c r="D44" s="1242"/>
      <c r="E44" s="2222"/>
      <c r="F44" s="2221">
        <v>1</v>
      </c>
      <c r="G44" s="1242"/>
      <c r="H44" s="1242"/>
      <c r="I44" s="1242"/>
      <c r="J44" s="1242"/>
      <c r="K44" s="1242"/>
      <c r="L44" s="1243"/>
      <c r="M44" s="1244"/>
      <c r="N44" s="1244"/>
      <c r="O44" s="1244"/>
      <c r="P44" s="450"/>
      <c r="Q44" s="276"/>
      <c r="R44" s="277"/>
      <c r="S44" s="1094" t="str">
        <f>INDEX(PT_DIFFERENTIATION_NUM_TER,MATCH(B44,PT_DIFFERENTIATION_TER_ID,0))</f>
        <v>.</v>
      </c>
      <c r="T44" s="228" t="s">
        <v>1463</v>
      </c>
      <c r="U44" s="218"/>
      <c r="V44" s="2215"/>
      <c r="W44" s="2216"/>
      <c r="X44" s="2216"/>
      <c r="Y44" s="2216"/>
      <c r="Z44" s="2216"/>
      <c r="AA44" s="2216"/>
      <c r="AB44" s="2216"/>
      <c r="AC44" s="2217"/>
      <c r="AD44" s="2215" t="str">
        <f>INDEX(PT_DIFFERENTIATION_TER,MATCH(B44,PT_DIFFERENTIATION_TER_ID,0))</f>
        <v/>
      </c>
      <c r="AE44" s="2216"/>
      <c r="AF44" s="2216"/>
      <c r="AG44" s="2216"/>
      <c r="AH44" s="2216"/>
      <c r="AI44" s="2216"/>
      <c r="AJ44" s="2216"/>
      <c r="AK44" s="2216"/>
      <c r="AL44" s="2217"/>
      <c r="AM44" s="1138" t="s">
        <v>1464</v>
      </c>
      <c r="AO44" s="428"/>
      <c r="AP44" s="428" t="str">
        <f t="shared" si="1"/>
        <v>Территория действия тарифа</v>
      </c>
      <c r="AQ44" s="428"/>
      <c r="AR44" s="428"/>
    </row>
    <row r="45" spans="1:44" ht="23.25" customHeight="1">
      <c r="A45" s="1242" t="s">
        <v>157</v>
      </c>
      <c r="B45" s="1242" t="s">
        <v>158</v>
      </c>
      <c r="C45" s="1242" t="s">
        <v>159</v>
      </c>
      <c r="D45" s="1242"/>
      <c r="E45" s="2222"/>
      <c r="F45" s="2222"/>
      <c r="G45" s="2221">
        <v>1</v>
      </c>
      <c r="H45" s="1242"/>
      <c r="I45" s="1242"/>
      <c r="J45" s="1242"/>
      <c r="K45" s="1242"/>
      <c r="L45" s="1243"/>
      <c r="M45" s="1244"/>
      <c r="N45" s="1244"/>
      <c r="O45" s="1244"/>
      <c r="P45" s="278"/>
      <c r="Q45" s="276"/>
      <c r="R45" s="277"/>
      <c r="S45" s="1094" t="str">
        <f>INDEX(PT_DIFFERENTIATION_NUM_CS,MATCH(C45,PT_DIFFERENTIATION_CS_ID,0))</f>
        <v>..</v>
      </c>
      <c r="T45" s="229" t="s">
        <v>1465</v>
      </c>
      <c r="U45" s="218"/>
      <c r="V45" s="2215"/>
      <c r="W45" s="2216"/>
      <c r="X45" s="2216"/>
      <c r="Y45" s="2216"/>
      <c r="Z45" s="2216"/>
      <c r="AA45" s="2216"/>
      <c r="AB45" s="2216"/>
      <c r="AC45" s="2217"/>
      <c r="AD45" s="2215" t="str">
        <f>INDEX(PT_DIFFERENTIATION_CS,MATCH(C45,PT_DIFFERENTIATION_CS_ID,0))</f>
        <v/>
      </c>
      <c r="AE45" s="2216"/>
      <c r="AF45" s="2216"/>
      <c r="AG45" s="2216"/>
      <c r="AH45" s="2216"/>
      <c r="AI45" s="2216"/>
      <c r="AJ45" s="2216"/>
      <c r="AK45" s="2216"/>
      <c r="AL45" s="2217"/>
      <c r="AM45" s="1138" t="s">
        <v>1466</v>
      </c>
      <c r="AO45" s="428"/>
      <c r="AP45" s="428" t="str">
        <f t="shared" si="1"/>
        <v xml:space="preserve">Наименование системы теплоснабжения </v>
      </c>
      <c r="AQ45" s="428"/>
      <c r="AR45" s="428"/>
    </row>
    <row r="46" spans="1:44" ht="23.25" customHeight="1">
      <c r="A46" s="1242" t="s">
        <v>157</v>
      </c>
      <c r="B46" s="1242" t="s">
        <v>158</v>
      </c>
      <c r="C46" s="1242" t="s">
        <v>159</v>
      </c>
      <c r="D46" s="1242" t="s">
        <v>160</v>
      </c>
      <c r="E46" s="2222"/>
      <c r="F46" s="2222"/>
      <c r="G46" s="2222"/>
      <c r="H46" s="2221">
        <v>1</v>
      </c>
      <c r="I46" s="1242"/>
      <c r="J46" s="1242"/>
      <c r="K46" s="1242"/>
      <c r="L46" s="1243"/>
      <c r="M46" s="1244"/>
      <c r="N46" s="1244"/>
      <c r="O46" s="1244"/>
      <c r="P46" s="278"/>
      <c r="Q46" s="276"/>
      <c r="R46" s="277"/>
      <c r="S46" s="1094" t="str">
        <f>INDEX(PT_DIFFERENTIATION_NUM_IST_TE,MATCH(D46,PT_DIFFERENTIATION_IST_TE_ID,0))</f>
        <v>...</v>
      </c>
      <c r="T46" s="230" t="s">
        <v>1467</v>
      </c>
      <c r="U46" s="218"/>
      <c r="V46" s="2215"/>
      <c r="W46" s="2216"/>
      <c r="X46" s="2216"/>
      <c r="Y46" s="2216"/>
      <c r="Z46" s="2216"/>
      <c r="AA46" s="2216"/>
      <c r="AB46" s="2216"/>
      <c r="AC46" s="2217"/>
      <c r="AD46" s="2215" t="str">
        <f>INDEX(PT_DIFFERENTIATION_IST_TE,MATCH(D46,PT_DIFFERENTIATION_IST_TE_ID,0))</f>
        <v/>
      </c>
      <c r="AE46" s="2216"/>
      <c r="AF46" s="2216"/>
      <c r="AG46" s="2216"/>
      <c r="AH46" s="2216"/>
      <c r="AI46" s="2216"/>
      <c r="AJ46" s="2216"/>
      <c r="AK46" s="2216"/>
      <c r="AL46" s="2217"/>
      <c r="AM46" s="1138" t="s">
        <v>1468</v>
      </c>
      <c r="AO46" s="428"/>
      <c r="AP46" s="428" t="str">
        <f t="shared" si="1"/>
        <v xml:space="preserve">Источник тепловой энергии  </v>
      </c>
      <c r="AQ46" s="428"/>
      <c r="AR46" s="428"/>
    </row>
    <row r="47" spans="1:44" ht="47.25" customHeight="1">
      <c r="A47" s="1242" t="s">
        <v>157</v>
      </c>
      <c r="B47" s="1242" t="s">
        <v>158</v>
      </c>
      <c r="C47" s="1242" t="s">
        <v>159</v>
      </c>
      <c r="D47" s="1242" t="s">
        <v>160</v>
      </c>
      <c r="E47" s="2222"/>
      <c r="F47" s="2222"/>
      <c r="G47" s="2222"/>
      <c r="H47" s="2222"/>
      <c r="I47" s="2223" t="str">
        <f>S46&amp;".1"</f>
        <v>....1</v>
      </c>
      <c r="J47" s="1242"/>
      <c r="K47" s="1242"/>
      <c r="L47" s="1243" t="s">
        <v>1469</v>
      </c>
      <c r="P47" s="2143">
        <v>1</v>
      </c>
      <c r="Q47" s="1088"/>
      <c r="R47" s="280"/>
      <c r="S47" s="1094" t="str">
        <f>$I47</f>
        <v>....1</v>
      </c>
      <c r="T47" s="203" t="s">
        <v>1470</v>
      </c>
      <c r="U47" s="218"/>
      <c r="V47" s="2210"/>
      <c r="W47" s="2211"/>
      <c r="X47" s="2211"/>
      <c r="Y47" s="2211"/>
      <c r="Z47" s="2211"/>
      <c r="AA47" s="2211"/>
      <c r="AB47" s="2211"/>
      <c r="AC47" s="2212"/>
      <c r="AD47" s="2210"/>
      <c r="AE47" s="2211"/>
      <c r="AF47" s="2211"/>
      <c r="AG47" s="2211"/>
      <c r="AH47" s="2211"/>
      <c r="AI47" s="2211"/>
      <c r="AJ47" s="2211"/>
      <c r="AK47" s="2211"/>
      <c r="AL47" s="2212"/>
      <c r="AM47" s="1138" t="s">
        <v>1471</v>
      </c>
      <c r="AO47" s="428"/>
      <c r="AP47" s="428" t="str">
        <f t="shared" si="1"/>
        <v>Схема подключения теплопотребляющей установки к коллектору источника тепловой энергии</v>
      </c>
      <c r="AQ47" s="428"/>
      <c r="AR47" s="428"/>
    </row>
    <row r="48" spans="1:44" ht="23.25" customHeight="1">
      <c r="A48" s="1242" t="s">
        <v>157</v>
      </c>
      <c r="B48" s="1242" t="s">
        <v>158</v>
      </c>
      <c r="C48" s="1242" t="s">
        <v>159</v>
      </c>
      <c r="D48" s="1242" t="s">
        <v>160</v>
      </c>
      <c r="E48" s="2222"/>
      <c r="F48" s="2222"/>
      <c r="G48" s="2222"/>
      <c r="H48" s="2222"/>
      <c r="I48" s="2224"/>
      <c r="J48" s="2223" t="str">
        <f>I47&amp;".1"</f>
        <v>....1.1</v>
      </c>
      <c r="K48" s="1242"/>
      <c r="L48" s="1243" t="s">
        <v>1472</v>
      </c>
      <c r="P48" s="2143"/>
      <c r="Q48" s="2143">
        <v>1</v>
      </c>
      <c r="R48" s="281"/>
      <c r="S48" s="1094" t="str">
        <f>$J48</f>
        <v>....1.1</v>
      </c>
      <c r="T48" s="204" t="s">
        <v>1473</v>
      </c>
      <c r="U48" s="218"/>
      <c r="V48" s="2210"/>
      <c r="W48" s="2211"/>
      <c r="X48" s="2211"/>
      <c r="Y48" s="2211"/>
      <c r="Z48" s="2211"/>
      <c r="AA48" s="2211"/>
      <c r="AB48" s="2211"/>
      <c r="AC48" s="2212"/>
      <c r="AD48" s="2210"/>
      <c r="AE48" s="2211"/>
      <c r="AF48" s="2211"/>
      <c r="AG48" s="2211"/>
      <c r="AH48" s="2211"/>
      <c r="AI48" s="2211"/>
      <c r="AJ48" s="2211"/>
      <c r="AK48" s="2211"/>
      <c r="AL48" s="2212"/>
      <c r="AM48" s="1138" t="s">
        <v>1474</v>
      </c>
      <c r="AO48" s="428"/>
      <c r="AP48" s="428" t="str">
        <f t="shared" si="1"/>
        <v>Группа потребителей</v>
      </c>
      <c r="AQ48" s="428"/>
      <c r="AR48" s="428"/>
    </row>
    <row r="49" spans="1:44" ht="23.25" customHeight="1">
      <c r="A49" s="1242" t="s">
        <v>157</v>
      </c>
      <c r="B49" s="1242" t="s">
        <v>158</v>
      </c>
      <c r="C49" s="1242" t="s">
        <v>159</v>
      </c>
      <c r="D49" s="1242" t="s">
        <v>160</v>
      </c>
      <c r="E49" s="2222"/>
      <c r="F49" s="2222"/>
      <c r="G49" s="2222"/>
      <c r="H49" s="2222"/>
      <c r="I49" s="2224"/>
      <c r="J49" s="2224"/>
      <c r="K49" s="2223" t="str">
        <f>J48&amp;".1"</f>
        <v>....1.1.1</v>
      </c>
      <c r="L49" s="1243" t="s">
        <v>1475</v>
      </c>
      <c r="P49" s="2143"/>
      <c r="Q49" s="2143"/>
      <c r="R49" s="281">
        <v>1</v>
      </c>
      <c r="S49" s="1094" t="str">
        <f>$K49</f>
        <v>....1.1.1</v>
      </c>
      <c r="T49" s="1230"/>
      <c r="U49" s="218"/>
      <c r="V49" s="1664"/>
      <c r="W49" s="1665"/>
      <c r="X49" s="1664"/>
      <c r="Y49" s="1666"/>
      <c r="Z49" s="2225"/>
      <c r="AA49" s="2017" t="s">
        <v>62</v>
      </c>
      <c r="AB49" s="2225"/>
      <c r="AC49" s="2017" t="s">
        <v>62</v>
      </c>
      <c r="AD49" s="1664"/>
      <c r="AE49" s="1665"/>
      <c r="AF49" s="1664"/>
      <c r="AG49" s="1666"/>
      <c r="AH49" s="2225"/>
      <c r="AI49" s="2017" t="s">
        <v>62</v>
      </c>
      <c r="AJ49" s="2227"/>
      <c r="AK49" s="2017" t="s">
        <v>62</v>
      </c>
      <c r="AL49" s="1672"/>
      <c r="AM49" s="2243" t="s">
        <v>1476</v>
      </c>
      <c r="AN49" s="439" t="e">
        <f ca="1">STRCHECKDATE(V50:AL50)</f>
        <v>#NAME?</v>
      </c>
      <c r="AO49" s="428"/>
      <c r="AP49" s="428" t="str">
        <f t="shared" si="1"/>
        <v/>
      </c>
      <c r="AQ49" s="428"/>
      <c r="AR49" s="428"/>
    </row>
    <row r="50" spans="1:44" ht="0.75" customHeight="1">
      <c r="A50" s="1242" t="s">
        <v>157</v>
      </c>
      <c r="B50" s="1242" t="s">
        <v>158</v>
      </c>
      <c r="C50" s="1242" t="s">
        <v>159</v>
      </c>
      <c r="D50" s="1242" t="s">
        <v>160</v>
      </c>
      <c r="E50" s="2222"/>
      <c r="F50" s="2222"/>
      <c r="G50" s="2222"/>
      <c r="H50" s="2222"/>
      <c r="I50" s="2224"/>
      <c r="J50" s="2224"/>
      <c r="K50" s="2223"/>
      <c r="L50" s="1243"/>
      <c r="P50" s="2143"/>
      <c r="Q50" s="2143"/>
      <c r="R50" s="281"/>
      <c r="S50" s="1092"/>
      <c r="T50" s="218"/>
      <c r="U50" s="218"/>
      <c r="V50" s="1665"/>
      <c r="W50" s="1665"/>
      <c r="X50" s="1665"/>
      <c r="Y50" s="1667" t="str">
        <f>Z49&amp;"-"&amp;AB49</f>
        <v>-</v>
      </c>
      <c r="Z50" s="2226"/>
      <c r="AA50" s="2017"/>
      <c r="AB50" s="2226"/>
      <c r="AC50" s="2017"/>
      <c r="AD50" s="1665"/>
      <c r="AE50" s="1665"/>
      <c r="AF50" s="1665"/>
      <c r="AG50" s="1667" t="str">
        <f>AH49&amp;"-"&amp;AJ49</f>
        <v>-</v>
      </c>
      <c r="AH50" s="2226"/>
      <c r="AI50" s="2017"/>
      <c r="AJ50" s="2228"/>
      <c r="AK50" s="2017"/>
      <c r="AL50" s="1673"/>
      <c r="AM50" s="2244"/>
      <c r="AO50" s="428"/>
      <c r="AP50" s="428" t="str">
        <f t="shared" si="1"/>
        <v/>
      </c>
      <c r="AQ50" s="428"/>
      <c r="AR50" s="428"/>
    </row>
    <row r="51" spans="1:44" ht="11.25" customHeight="1">
      <c r="A51" s="1242" t="s">
        <v>157</v>
      </c>
      <c r="B51" s="1242" t="s">
        <v>158</v>
      </c>
      <c r="C51" s="1242" t="s">
        <v>159</v>
      </c>
      <c r="D51" s="1242" t="s">
        <v>160</v>
      </c>
      <c r="E51" s="2222"/>
      <c r="F51" s="2222"/>
      <c r="G51" s="2222"/>
      <c r="H51" s="2222"/>
      <c r="I51" s="2224"/>
      <c r="J51" s="2223"/>
      <c r="K51" s="1242"/>
      <c r="L51" s="1243"/>
      <c r="P51" s="2143"/>
      <c r="Q51" s="2143"/>
      <c r="R51" s="280"/>
      <c r="S51" s="1159"/>
      <c r="T51" s="206" t="s">
        <v>1477</v>
      </c>
      <c r="U51" s="294"/>
      <c r="V51" s="294"/>
      <c r="W51" s="294"/>
      <c r="X51" s="294"/>
      <c r="Y51" s="294"/>
      <c r="Z51" s="294"/>
      <c r="AA51" s="294"/>
      <c r="AB51" s="294"/>
      <c r="AC51" s="294"/>
      <c r="AD51" s="294"/>
      <c r="AE51" s="294"/>
      <c r="AF51" s="294"/>
      <c r="AG51" s="294"/>
      <c r="AH51" s="294"/>
      <c r="AI51" s="294"/>
      <c r="AJ51" s="294"/>
      <c r="AK51" s="294"/>
      <c r="AL51" s="251"/>
      <c r="AM51" s="2245"/>
      <c r="AO51" s="428"/>
      <c r="AP51" s="428" t="str">
        <f t="shared" si="1"/>
        <v>Добавить вид теплоносителя (параметры теплоносителя)</v>
      </c>
      <c r="AQ51" s="428"/>
      <c r="AR51" s="428"/>
    </row>
    <row r="52" spans="1:44" ht="11.25" customHeight="1">
      <c r="A52" s="1242" t="s">
        <v>157</v>
      </c>
      <c r="B52" s="1242" t="s">
        <v>158</v>
      </c>
      <c r="C52" s="1242" t="s">
        <v>159</v>
      </c>
      <c r="D52" s="1242" t="s">
        <v>160</v>
      </c>
      <c r="E52" s="2222"/>
      <c r="F52" s="2222"/>
      <c r="G52" s="2222"/>
      <c r="H52" s="2222"/>
      <c r="I52" s="2223"/>
      <c r="J52" s="1242"/>
      <c r="K52" s="1242"/>
      <c r="L52" s="1243"/>
      <c r="P52" s="2143"/>
      <c r="Q52" s="1088"/>
      <c r="R52" s="280"/>
      <c r="S52" s="1159"/>
      <c r="T52" s="205" t="s">
        <v>1478</v>
      </c>
      <c r="U52" s="294"/>
      <c r="V52" s="294"/>
      <c r="W52" s="294"/>
      <c r="X52" s="294"/>
      <c r="Y52" s="294"/>
      <c r="Z52" s="294"/>
      <c r="AA52" s="294"/>
      <c r="AB52" s="294"/>
      <c r="AC52" s="293"/>
      <c r="AD52" s="294"/>
      <c r="AE52" s="294"/>
      <c r="AF52" s="294"/>
      <c r="AG52" s="294"/>
      <c r="AH52" s="294"/>
      <c r="AI52" s="294"/>
      <c r="AJ52" s="294"/>
      <c r="AK52" s="293"/>
      <c r="AL52" s="294"/>
      <c r="AM52" s="221"/>
      <c r="AO52" s="428"/>
      <c r="AP52" s="428" t="str">
        <f t="shared" si="1"/>
        <v>Добавить группу потребителей</v>
      </c>
      <c r="AQ52" s="428"/>
      <c r="AR52" s="428"/>
    </row>
    <row r="53" spans="1:44" ht="14.25" customHeight="1">
      <c r="A53" s="1242" t="s">
        <v>157</v>
      </c>
      <c r="B53" s="1242" t="s">
        <v>158</v>
      </c>
      <c r="C53" s="1242" t="s">
        <v>159</v>
      </c>
      <c r="D53" s="1242" t="s">
        <v>160</v>
      </c>
      <c r="E53" s="2222"/>
      <c r="F53" s="2222"/>
      <c r="G53" s="2222"/>
      <c r="H53" s="2221"/>
      <c r="I53" s="1242"/>
      <c r="J53" s="1242"/>
      <c r="K53" s="1242"/>
      <c r="L53" s="1243"/>
      <c r="M53" s="1244"/>
      <c r="N53" s="1244"/>
      <c r="O53" s="464"/>
      <c r="P53" s="284"/>
      <c r="Q53" s="303"/>
      <c r="R53" s="279"/>
      <c r="S53" s="1159"/>
      <c r="T53" s="291" t="s">
        <v>1479</v>
      </c>
      <c r="U53" s="294"/>
      <c r="V53" s="294"/>
      <c r="W53" s="294"/>
      <c r="X53" s="294"/>
      <c r="Y53" s="294"/>
      <c r="Z53" s="294"/>
      <c r="AA53" s="294"/>
      <c r="AB53" s="294"/>
      <c r="AC53" s="293"/>
      <c r="AD53" s="294"/>
      <c r="AE53" s="294"/>
      <c r="AF53" s="294"/>
      <c r="AG53" s="294"/>
      <c r="AH53" s="294"/>
      <c r="AI53" s="294"/>
      <c r="AJ53" s="294"/>
      <c r="AK53" s="293"/>
      <c r="AL53" s="294"/>
      <c r="AM53" s="221"/>
      <c r="AO53" s="428"/>
      <c r="AP53" s="428" t="str">
        <f t="shared" si="1"/>
        <v>Добавить схему подключения</v>
      </c>
      <c r="AQ53" s="428"/>
      <c r="AR53" s="428"/>
    </row>
    <row r="54" spans="1:44" s="1755" customFormat="1" ht="0.75" customHeight="1">
      <c r="A54" s="1226" t="s">
        <v>157</v>
      </c>
      <c r="B54" s="1226" t="s">
        <v>158</v>
      </c>
      <c r="C54" s="1226" t="s">
        <v>159</v>
      </c>
      <c r="D54" s="1198"/>
      <c r="E54" s="2222"/>
      <c r="F54" s="2222"/>
      <c r="G54" s="2221"/>
      <c r="H54" s="1198"/>
      <c r="I54" s="1198"/>
      <c r="J54" s="1198"/>
      <c r="K54" s="1198"/>
      <c r="L54" s="1222"/>
      <c r="M54" s="1199"/>
      <c r="N54" s="1199"/>
      <c r="P54" s="1200"/>
      <c r="Q54" s="1201"/>
      <c r="R54" s="1200"/>
      <c r="S54" s="1206"/>
      <c r="T54" s="1209" t="s">
        <v>1438</v>
      </c>
      <c r="U54" s="1208"/>
      <c r="V54" s="1208"/>
      <c r="W54" s="1208"/>
      <c r="X54" s="1208"/>
      <c r="Y54" s="1208"/>
      <c r="Z54" s="1208"/>
      <c r="AA54" s="1208"/>
      <c r="AB54" s="1208"/>
      <c r="AC54" s="1208"/>
      <c r="AD54" s="1208"/>
      <c r="AE54" s="1208"/>
      <c r="AF54" s="1208"/>
      <c r="AG54" s="1208"/>
      <c r="AH54" s="1208"/>
      <c r="AI54" s="1208"/>
      <c r="AJ54" s="1208"/>
      <c r="AK54" s="1208"/>
      <c r="AL54" s="1208"/>
      <c r="AM54" s="1208"/>
      <c r="AO54" s="695"/>
      <c r="AP54" s="695" t="str">
        <f t="shared" si="1"/>
        <v>Добавить источник для дифференциации</v>
      </c>
      <c r="AQ54" s="695"/>
      <c r="AR54" s="695"/>
    </row>
    <row r="55" spans="1:44" s="1755" customFormat="1" ht="0.75" customHeight="1">
      <c r="A55" s="1226" t="s">
        <v>157</v>
      </c>
      <c r="B55" s="1226" t="s">
        <v>158</v>
      </c>
      <c r="C55" s="1198"/>
      <c r="D55" s="1198"/>
      <c r="E55" s="2222"/>
      <c r="F55" s="2221"/>
      <c r="G55" s="1198"/>
      <c r="H55" s="1198"/>
      <c r="I55" s="1198"/>
      <c r="J55" s="1198"/>
      <c r="K55" s="1198"/>
      <c r="L55" s="1222"/>
      <c r="M55" s="1205"/>
      <c r="N55" s="1205"/>
      <c r="P55" s="1200"/>
      <c r="Q55" s="1201"/>
      <c r="R55" s="1200"/>
      <c r="S55" s="1206"/>
      <c r="T55" s="1209" t="s">
        <v>1439</v>
      </c>
      <c r="U55" s="1208"/>
      <c r="V55" s="1208"/>
      <c r="W55" s="1208"/>
      <c r="X55" s="1208"/>
      <c r="Y55" s="1208"/>
      <c r="Z55" s="1208"/>
      <c r="AA55" s="1208"/>
      <c r="AB55" s="1208"/>
      <c r="AC55" s="1208"/>
      <c r="AD55" s="1208"/>
      <c r="AE55" s="1208"/>
      <c r="AF55" s="1208"/>
      <c r="AG55" s="1208"/>
      <c r="AH55" s="1208"/>
      <c r="AI55" s="1208"/>
      <c r="AJ55" s="1208"/>
      <c r="AK55" s="1208"/>
      <c r="AL55" s="1208"/>
      <c r="AM55" s="1208"/>
      <c r="AO55" s="695"/>
      <c r="AP55" s="695" t="str">
        <f t="shared" si="1"/>
        <v>Добавить централизованную систему для дифференциации</v>
      </c>
      <c r="AQ55" s="695"/>
      <c r="AR55" s="695"/>
    </row>
    <row r="56" spans="1:44" s="1755" customFormat="1" ht="0.75" customHeight="1">
      <c r="A56" s="1226" t="s">
        <v>157</v>
      </c>
      <c r="B56" s="1226"/>
      <c r="C56" s="1226"/>
      <c r="D56" s="1226"/>
      <c r="E56" s="2221"/>
      <c r="F56" s="1226"/>
      <c r="G56" s="1226"/>
      <c r="H56" s="1226"/>
      <c r="I56" s="1226"/>
      <c r="J56" s="1226"/>
      <c r="K56" s="1226"/>
      <c r="L56" s="1229"/>
      <c r="M56" s="1205"/>
      <c r="N56" s="1205"/>
      <c r="O56" s="446"/>
      <c r="P56" s="311"/>
      <c r="Q56" s="1227"/>
      <c r="R56" s="311"/>
      <c r="S56" s="1206"/>
      <c r="T56" s="1209" t="s">
        <v>1440</v>
      </c>
      <c r="U56" s="1208"/>
      <c r="V56" s="1208"/>
      <c r="W56" s="1208"/>
      <c r="X56" s="1208"/>
      <c r="Y56" s="1208"/>
      <c r="Z56" s="1208"/>
      <c r="AA56" s="1208"/>
      <c r="AB56" s="1208"/>
      <c r="AC56" s="1208"/>
      <c r="AD56" s="1208"/>
      <c r="AE56" s="1208"/>
      <c r="AF56" s="1208"/>
      <c r="AG56" s="1208"/>
      <c r="AH56" s="1208"/>
      <c r="AI56" s="1208"/>
      <c r="AJ56" s="1208"/>
      <c r="AK56" s="1208"/>
      <c r="AL56" s="1208"/>
      <c r="AM56" s="1208"/>
      <c r="AO56" s="428"/>
      <c r="AP56" s="428" t="str">
        <f t="shared" si="1"/>
        <v>Добавить территорию для дифференциации</v>
      </c>
      <c r="AQ56" s="428"/>
      <c r="AR56" s="428"/>
    </row>
    <row r="57" spans="1:44" s="1755" customFormat="1" ht="0.75" customHeight="1">
      <c r="A57" s="1198"/>
      <c r="B57" s="1198"/>
      <c r="C57" s="1198"/>
      <c r="D57" s="1198"/>
      <c r="E57" s="1226"/>
      <c r="F57" s="1198"/>
      <c r="G57" s="1198"/>
      <c r="H57" s="1198"/>
      <c r="I57" s="1198"/>
      <c r="J57" s="1198"/>
      <c r="K57" s="1198"/>
      <c r="L57" s="1222"/>
      <c r="M57" s="1205"/>
      <c r="N57" s="1205"/>
      <c r="P57" s="1200"/>
      <c r="Q57" s="1201"/>
      <c r="R57" s="1200"/>
      <c r="S57" s="1206"/>
      <c r="T57" s="1209" t="s">
        <v>1441</v>
      </c>
      <c r="U57" s="1208"/>
      <c r="V57" s="1208"/>
      <c r="W57" s="1208"/>
      <c r="X57" s="1208"/>
      <c r="Y57" s="1208"/>
      <c r="Z57" s="1208"/>
      <c r="AA57" s="1208"/>
      <c r="AB57" s="1208"/>
      <c r="AC57" s="1208"/>
      <c r="AD57" s="1208"/>
      <c r="AE57" s="1208"/>
      <c r="AF57" s="1208"/>
      <c r="AG57" s="1208"/>
      <c r="AH57" s="1208"/>
      <c r="AI57" s="1208"/>
      <c r="AJ57" s="1208"/>
      <c r="AK57" s="1208"/>
      <c r="AL57" s="1208"/>
      <c r="AM57" s="1208"/>
      <c r="AO57" s="695"/>
      <c r="AP57" s="695" t="str">
        <f t="shared" si="1"/>
        <v>Добавить наименование тарифа</v>
      </c>
      <c r="AQ57" s="695"/>
      <c r="AR57" s="695"/>
    </row>
    <row r="58" spans="1:44" ht="11.25" hidden="1" customHeight="1">
      <c r="M58" s="1034"/>
      <c r="N58" s="1034"/>
      <c r="O58" s="464"/>
      <c r="P58" s="1029"/>
      <c r="Q58" s="1029"/>
      <c r="R58" s="1029"/>
      <c r="S58" s="1029"/>
      <c r="AN58" s="1029"/>
      <c r="AO58" s="1029"/>
      <c r="AP58" s="1029"/>
      <c r="AQ58" s="1029"/>
      <c r="AR58" s="1029"/>
    </row>
    <row r="59" spans="1:44" ht="27" hidden="1" customHeight="1">
      <c r="O59" s="464"/>
      <c r="S59" s="1126" t="s">
        <v>1511</v>
      </c>
      <c r="T59" s="2220" t="s">
        <v>1512</v>
      </c>
      <c r="U59" s="2220"/>
      <c r="V59" s="2220"/>
      <c r="W59" s="2220"/>
      <c r="X59" s="2220"/>
      <c r="Y59" s="2220"/>
      <c r="Z59" s="2220"/>
      <c r="AA59" s="2220"/>
      <c r="AB59" s="2220"/>
      <c r="AC59" s="2220"/>
      <c r="AD59" s="2220"/>
      <c r="AE59" s="2220"/>
      <c r="AF59" s="2220"/>
      <c r="AG59" s="2220"/>
      <c r="AH59" s="2220"/>
      <c r="AI59" s="2220"/>
      <c r="AJ59" s="2220"/>
      <c r="AK59" s="2220"/>
      <c r="AL59" s="2220"/>
      <c r="AM59" s="2220"/>
    </row>
    <row r="60" spans="1:44" ht="64.5" hidden="1" customHeight="1">
      <c r="O60" s="464"/>
      <c r="P60" s="1187"/>
      <c r="T60" s="2220" t="s">
        <v>1513</v>
      </c>
      <c r="U60" s="2220"/>
      <c r="V60" s="2220"/>
      <c r="W60" s="2220"/>
      <c r="X60" s="2220"/>
      <c r="Y60" s="2220"/>
      <c r="Z60" s="2220"/>
      <c r="AA60" s="2220"/>
      <c r="AB60" s="2220"/>
      <c r="AC60" s="2220"/>
      <c r="AD60" s="2220"/>
      <c r="AE60" s="2220"/>
      <c r="AF60" s="2220"/>
      <c r="AG60" s="2220"/>
      <c r="AH60" s="2220"/>
      <c r="AI60" s="2220"/>
      <c r="AJ60" s="2220"/>
      <c r="AK60" s="2220"/>
      <c r="AL60" s="2220"/>
      <c r="AM60" s="2220"/>
    </row>
    <row r="61" spans="1:44" ht="14.25" hidden="1" customHeight="1">
      <c r="O61" s="464"/>
    </row>
    <row r="62" spans="1:44" ht="18" hidden="1" customHeight="1">
      <c r="O62" s="464"/>
      <c r="P62" s="1211"/>
      <c r="S62" s="1126" t="s">
        <v>1511</v>
      </c>
      <c r="T62" s="2220" t="s">
        <v>1514</v>
      </c>
      <c r="U62" s="2220"/>
      <c r="V62" s="2220"/>
      <c r="W62" s="2220"/>
      <c r="X62" s="2220"/>
      <c r="Y62" s="2220"/>
      <c r="Z62" s="2220"/>
      <c r="AA62" s="2220"/>
      <c r="AB62" s="2220"/>
      <c r="AC62" s="2220"/>
      <c r="AD62" s="2220"/>
      <c r="AE62" s="2220"/>
      <c r="AF62" s="2220"/>
      <c r="AG62" s="2220"/>
      <c r="AH62" s="2220"/>
      <c r="AI62" s="2220"/>
      <c r="AJ62" s="2220"/>
      <c r="AK62" s="2220"/>
      <c r="AL62" s="2220"/>
      <c r="AM62" s="2220"/>
    </row>
    <row r="63" spans="1:44" ht="18" hidden="1" customHeight="1">
      <c r="O63" s="464"/>
      <c r="P63" s="1211"/>
      <c r="T63" s="2220" t="s">
        <v>1515</v>
      </c>
      <c r="U63" s="2220"/>
      <c r="V63" s="2220"/>
      <c r="W63" s="2220"/>
      <c r="X63" s="2220"/>
      <c r="Y63" s="2220"/>
      <c r="Z63" s="2220"/>
      <c r="AA63" s="2220"/>
      <c r="AB63" s="2220"/>
      <c r="AC63" s="2220"/>
      <c r="AD63" s="2220"/>
      <c r="AE63" s="2220"/>
      <c r="AF63" s="2220"/>
      <c r="AG63" s="2220"/>
      <c r="AH63" s="2220"/>
      <c r="AI63" s="2220"/>
      <c r="AJ63" s="2220"/>
      <c r="AK63" s="2220"/>
      <c r="AL63" s="2220"/>
      <c r="AM63" s="2220"/>
    </row>
    <row r="64" spans="1:44" ht="27.75" hidden="1" customHeight="1">
      <c r="O64" s="464"/>
      <c r="P64" s="1211"/>
      <c r="S64" s="1126"/>
      <c r="T64" s="2220" t="s">
        <v>1516</v>
      </c>
      <c r="U64" s="2220"/>
      <c r="V64" s="2220"/>
      <c r="W64" s="2220"/>
      <c r="X64" s="2220"/>
      <c r="Y64" s="2220"/>
      <c r="Z64" s="2220"/>
      <c r="AA64" s="2220"/>
      <c r="AB64" s="2220"/>
      <c r="AC64" s="2220"/>
      <c r="AD64" s="2220"/>
      <c r="AE64" s="2220"/>
      <c r="AF64" s="2220"/>
      <c r="AG64" s="2220"/>
      <c r="AH64" s="2220"/>
      <c r="AI64" s="2220"/>
      <c r="AJ64" s="2220"/>
      <c r="AK64" s="2220"/>
      <c r="AL64" s="2220"/>
      <c r="AM64" s="2220"/>
    </row>
  </sheetData>
  <sheetProtection formatColumns="0" formatRows="0" insertRows="0" deleteColumns="0" deleteRows="0" sort="0" autoFilter="0"/>
  <mergeCells count="112">
    <mergeCell ref="V43:AC43"/>
    <mergeCell ref="V44:AC44"/>
    <mergeCell ref="V45:AC45"/>
    <mergeCell ref="V46:AC46"/>
    <mergeCell ref="V47:AC47"/>
    <mergeCell ref="V48:AC48"/>
    <mergeCell ref="AD43:AL43"/>
    <mergeCell ref="AD44:AL44"/>
    <mergeCell ref="AD45:AL45"/>
    <mergeCell ref="AD46:AL46"/>
    <mergeCell ref="AD47:AL47"/>
    <mergeCell ref="AD48:AL48"/>
    <mergeCell ref="S26:AJ26"/>
    <mergeCell ref="S27:AJ27"/>
    <mergeCell ref="S29:T29"/>
    <mergeCell ref="S30:T30"/>
    <mergeCell ref="S31:T31"/>
    <mergeCell ref="S32:T32"/>
    <mergeCell ref="AD31:AJ31"/>
    <mergeCell ref="AD32:AJ32"/>
    <mergeCell ref="AD37:AK37"/>
    <mergeCell ref="AC49:AC50"/>
    <mergeCell ref="AM49:AM51"/>
    <mergeCell ref="AM8:AM10"/>
    <mergeCell ref="K8:K9"/>
    <mergeCell ref="P6:P11"/>
    <mergeCell ref="E43:E56"/>
    <mergeCell ref="F44:F55"/>
    <mergeCell ref="G45:G54"/>
    <mergeCell ref="H46:H53"/>
    <mergeCell ref="V40:V41"/>
    <mergeCell ref="X40:Y40"/>
    <mergeCell ref="V29:AB29"/>
    <mergeCell ref="V30:AB30"/>
    <mergeCell ref="V31:AB31"/>
    <mergeCell ref="V32:AB32"/>
    <mergeCell ref="Q7:Q10"/>
    <mergeCell ref="AH8:AH9"/>
    <mergeCell ref="AI8:AI9"/>
    <mergeCell ref="AJ8:AJ9"/>
    <mergeCell ref="Z8:Z9"/>
    <mergeCell ref="AA8:AA9"/>
    <mergeCell ref="AB8:AB9"/>
    <mergeCell ref="AC8:AC9"/>
    <mergeCell ref="AH17:AH18"/>
    <mergeCell ref="Z40:AB40"/>
    <mergeCell ref="AA41:AB41"/>
    <mergeCell ref="AA42:AB42"/>
    <mergeCell ref="V37:AC37"/>
    <mergeCell ref="S38:AL38"/>
    <mergeCell ref="AM38:AM41"/>
    <mergeCell ref="S39:S41"/>
    <mergeCell ref="T39:T41"/>
    <mergeCell ref="V39:AB39"/>
    <mergeCell ref="AC39:AC41"/>
    <mergeCell ref="AL39:AL41"/>
    <mergeCell ref="AI42:AJ42"/>
    <mergeCell ref="AD39:AJ39"/>
    <mergeCell ref="AK39:AK41"/>
    <mergeCell ref="AD40:AD41"/>
    <mergeCell ref="AE40:AE41"/>
    <mergeCell ref="AF40:AG40"/>
    <mergeCell ref="AH40:AJ40"/>
    <mergeCell ref="AI41:AJ41"/>
    <mergeCell ref="T62:AM62"/>
    <mergeCell ref="T63:AM63"/>
    <mergeCell ref="T64:AM64"/>
    <mergeCell ref="E2:E15"/>
    <mergeCell ref="F3:F14"/>
    <mergeCell ref="G4:G13"/>
    <mergeCell ref="H5:H12"/>
    <mergeCell ref="I6:I11"/>
    <mergeCell ref="J7:J10"/>
    <mergeCell ref="I47:I52"/>
    <mergeCell ref="J48:J51"/>
    <mergeCell ref="K49:K50"/>
    <mergeCell ref="P47:P52"/>
    <mergeCell ref="Q48:Q51"/>
    <mergeCell ref="AH49:AH50"/>
    <mergeCell ref="AI49:AI50"/>
    <mergeCell ref="AJ49:AJ50"/>
    <mergeCell ref="AK49:AK50"/>
    <mergeCell ref="T59:AM59"/>
    <mergeCell ref="W40:W41"/>
    <mergeCell ref="T60:AM60"/>
    <mergeCell ref="Z49:Z50"/>
    <mergeCell ref="AA49:AA50"/>
    <mergeCell ref="AB49:AB50"/>
    <mergeCell ref="V7:AC7"/>
    <mergeCell ref="AD7:AL7"/>
    <mergeCell ref="S34:T34"/>
    <mergeCell ref="V34:AB34"/>
    <mergeCell ref="AD34:AJ34"/>
    <mergeCell ref="S35:T35"/>
    <mergeCell ref="V35:AB35"/>
    <mergeCell ref="AD35:AJ35"/>
    <mergeCell ref="V2:AC2"/>
    <mergeCell ref="AD2:AL2"/>
    <mergeCell ref="V3:AC3"/>
    <mergeCell ref="AD3:AL3"/>
    <mergeCell ref="V4:AC4"/>
    <mergeCell ref="AD4:AL4"/>
    <mergeCell ref="V5:AC5"/>
    <mergeCell ref="AD5:AL5"/>
    <mergeCell ref="V6:AC6"/>
    <mergeCell ref="AD6:AL6"/>
    <mergeCell ref="AI17:AI18"/>
    <mergeCell ref="AJ17:AJ18"/>
    <mergeCell ref="AK17:AK18"/>
    <mergeCell ref="AK8:AK9"/>
    <mergeCell ref="AD29:AJ29"/>
    <mergeCell ref="AD30:AJ30"/>
  </mergeCells>
  <dataValidations count="8">
    <dataValidation allowBlank="1" sqref="S131123:AM131129 S196659:AM196665 S262195:AM262201 S327731:AM327737 S393267:AM393273 S458803:AM458809 S524339:AM524345 S589875:AM589881 S655411:AM655417 S720947:AM720953 S786483:AM786489 S852019:AM852025 S917555:AM917561 S983091:AM983097 S65587:AM65593"/>
    <dataValidation type="list" allowBlank="1" showInputMessage="1" errorTitle="Ошибка" error="Выберите значение из списка" prompt="Выберите значение из списка" sqref="V983088:AL983088 V65584:AL65584 V131120:AL131120 V196656:AL196656 V262192:AL262192 V327728:AL327728 V393264:AL393264 V458800:AL458800 V524336:AL524336 V589872:AL589872 V655408:AL655408 V720944:AL720944 V786480:AL786480 V852016:AL852016 V917552:AL917552">
      <formula1>kind_of_cons</formula1>
    </dataValidation>
    <dataValidation allowBlank="1" promptTitle="checkPeriodRange" sqref="Y65586 Y131122 Y196658 Y262194 Y327730 Y393266 Y458802 Y524338 Y589874 Y655410 Y720946 Y786482 Y852018 Y917554 Y983090 Y9 AG65586 AG131122 AG196658 AG262194 AG327730 AG393266 AG458802 AG524338 AG589874 AG655410 AG720946 AG786482 AG852018 AG917554 AG983090 AG9 Y50 AG18 AG50"/>
    <dataValidation type="list" allowBlank="1" showInputMessage="1" showErrorMessage="1" errorTitle="Ошибка" error="Выберите значение из списка" 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
      <formula1>kind_of_scheme_in</formula1>
    </dataValidation>
    <dataValidation type="textLength" operator="lessThanOrEqual" allowBlank="1" showInputMessage="1" showErrorMessage="1" errorTitle="Ошибка" error="Допускается ввод не более 900 символов!" sqref="AM65579:AM65586 AM131115:AM131122 AM196651:AM196658 AM262187:AM262194 AM327723:AM327730 AM393259:AM393266 AM458795:AM458802 AM524331:AM524338 AM589867:AM589874 AM655403:AM655410 AM720939:AM720946 AM786475:AM786482 AM852011:AM852018 AM917547:AM917554 AM983083:AM983090">
      <formula1>900</formula1>
    </dataValidation>
    <dataValidation type="list" allowBlank="1" showInputMessage="1" showErrorMessage="1" errorTitle="Ошибка" error="Выберите значение из списка" sqref="T65585 T131121 T196657 T262193 T327729 T393265 T458801 T524337 T589873 T655409 T720945 T786481 T852017 T917553 T983089">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dataValidation allowBlank="1" showInputMessage="1" showErrorMessage="1" prompt="Для выбора выполните двойной щелчок левой клавиши мыши по соответствующей ячейке."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327729 AK393265 AK49 AK524337 AK8 AK589873 AK655409 AK17 AK720945 AK786481 AK852017 AK917553 AK983089 AK65585 AK131121 AI49 AK458801 AI8 AC8 AA8 AI17 AK196657 AA49 AC49 AK262193"/>
  </dataValidations>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39997558519241921"/>
  </sheetPr>
  <dimension ref="A1:AR64"/>
  <sheetViews>
    <sheetView showGridLines="0" topLeftCell="P25" zoomScale="90" workbookViewId="0"/>
  </sheetViews>
  <sheetFormatPr defaultColWidth="10.5703125" defaultRowHeight="14.25" customHeight="1"/>
  <cols>
    <col min="1" max="1" width="10.5703125" style="1742" hidden="1"/>
    <col min="2" max="2" width="11" style="1742" hidden="1" customWidth="1"/>
    <col min="3" max="3" width="10.5703125" style="1742" hidden="1"/>
    <col min="4" max="4" width="11.85546875" style="1742" hidden="1" customWidth="1"/>
    <col min="5" max="5" width="10" style="1742" hidden="1" customWidth="1"/>
    <col min="6" max="6" width="8.7109375" style="1742" hidden="1" customWidth="1"/>
    <col min="7" max="7" width="7.5703125" style="1742" hidden="1" customWidth="1"/>
    <col min="8" max="8" width="11.42578125" style="1742" hidden="1" customWidth="1"/>
    <col min="9" max="9" width="12" style="1742" hidden="1" customWidth="1"/>
    <col min="10" max="10" width="9.85546875" style="1742" hidden="1" customWidth="1"/>
    <col min="11" max="11" width="11.42578125" style="1742" hidden="1" customWidth="1"/>
    <col min="12" max="12" width="19.140625" style="1741" hidden="1" customWidth="1"/>
    <col min="13" max="14" width="12.28515625" style="1683" hidden="1" customWidth="1"/>
    <col min="15" max="15" width="23.42578125" style="1683" hidden="1" customWidth="1"/>
    <col min="16" max="16" width="3.7109375" style="1720" customWidth="1"/>
    <col min="17" max="18" width="3.7109375" style="1674" customWidth="1"/>
    <col min="19" max="19" width="12.7109375" style="1713" customWidth="1"/>
    <col min="20" max="20" width="32" style="1829" customWidth="1"/>
    <col min="21" max="21" width="0.140625" style="1829" customWidth="1"/>
    <col min="22" max="22" width="24.7109375" style="1829" hidden="1" customWidth="1"/>
    <col min="23" max="23" width="0.140625" style="1829" hidden="1" customWidth="1"/>
    <col min="24" max="25" width="24.7109375" style="1829" hidden="1" customWidth="1"/>
    <col min="26" max="26" width="11.7109375" style="1829" hidden="1" customWidth="1"/>
    <col min="27" max="27" width="3.7109375" style="1829" hidden="1" customWidth="1"/>
    <col min="28" max="28" width="11.7109375" style="1829" hidden="1" customWidth="1"/>
    <col min="29" max="29" width="8.5703125" style="1829" hidden="1" customWidth="1"/>
    <col min="30" max="30" width="24.7109375" style="1829" customWidth="1"/>
    <col min="31" max="31" width="0.140625" style="1829" customWidth="1"/>
    <col min="32" max="33" width="24.7109375" style="1829" customWidth="1"/>
    <col min="34" max="34" width="11.7109375" style="1829" customWidth="1"/>
    <col min="35" max="35" width="3.7109375" style="1829" customWidth="1"/>
    <col min="36" max="36" width="11.7109375" style="1829" customWidth="1"/>
    <col min="37" max="37" width="8.5703125" style="1829" hidden="1" customWidth="1"/>
    <col min="38" max="38" width="4.7109375" style="1829" customWidth="1"/>
    <col min="39" max="39" width="115.7109375" style="1829" customWidth="1"/>
    <col min="40" max="41" width="10.5703125" style="1755"/>
    <col min="42" max="42" width="11.140625" style="1755" customWidth="1"/>
    <col min="43" max="44" width="10.5703125" style="1755"/>
  </cols>
  <sheetData>
    <row r="1" spans="1:44" ht="14.25" hidden="1" customHeight="1">
      <c r="Y1" s="254"/>
      <c r="Z1" s="254"/>
      <c r="AG1" s="254"/>
      <c r="AH1" s="254"/>
    </row>
    <row r="2" spans="1:44" ht="21" hidden="1" customHeight="1">
      <c r="A2" s="1242"/>
      <c r="B2" s="1242"/>
      <c r="C2" s="1242"/>
      <c r="D2" s="1242"/>
      <c r="E2" s="2221">
        <v>1</v>
      </c>
      <c r="F2" s="1242"/>
      <c r="G2" s="1242"/>
      <c r="H2" s="1242"/>
      <c r="I2" s="1242"/>
      <c r="J2" s="1242"/>
      <c r="K2" s="1242"/>
      <c r="L2" s="1243"/>
      <c r="M2" s="1244"/>
      <c r="N2" s="1244"/>
      <c r="O2" s="1244"/>
      <c r="P2" s="285"/>
      <c r="Q2" s="284"/>
      <c r="R2" s="279"/>
      <c r="S2" s="1219" t="e">
        <f>INDEX(PT_DIFFERENTIATION_NUM_NTAR,MATCH(A2,PT_DIFFERENTIATION_NTAR_ID,0))</f>
        <v>#N/A</v>
      </c>
      <c r="T2" s="216" t="s">
        <v>124</v>
      </c>
      <c r="U2" s="218"/>
      <c r="V2" s="2215"/>
      <c r="W2" s="2216"/>
      <c r="X2" s="2216"/>
      <c r="Y2" s="2216"/>
      <c r="Z2" s="2216"/>
      <c r="AA2" s="2216"/>
      <c r="AB2" s="2216"/>
      <c r="AC2" s="2217"/>
      <c r="AD2" s="2215" t="e">
        <f>INDEX(PT_DIFFERENTIATION_NTAR,MATCH(A2,PT_DIFFERENTIATION_NTAR_ID,0))</f>
        <v>#N/A</v>
      </c>
      <c r="AE2" s="2216"/>
      <c r="AF2" s="2216"/>
      <c r="AG2" s="2216"/>
      <c r="AH2" s="2216"/>
      <c r="AI2" s="2216"/>
      <c r="AJ2" s="2216"/>
      <c r="AK2" s="2216"/>
      <c r="AL2" s="2217"/>
      <c r="AM2" s="1138" t="s">
        <v>1462</v>
      </c>
      <c r="AO2" s="428"/>
      <c r="AP2" s="428" t="str">
        <f t="shared" ref="AP2:AP15" si="0">IF(T2="","",T2)</f>
        <v>Наименование тарифа</v>
      </c>
      <c r="AQ2" s="428"/>
      <c r="AR2" s="428"/>
    </row>
    <row r="3" spans="1:44" ht="21" hidden="1" customHeight="1">
      <c r="A3" s="1242"/>
      <c r="B3" s="1242"/>
      <c r="C3" s="1242"/>
      <c r="D3" s="1242"/>
      <c r="E3" s="2222"/>
      <c r="F3" s="2221">
        <v>1</v>
      </c>
      <c r="G3" s="1242"/>
      <c r="H3" s="1242"/>
      <c r="I3" s="1242"/>
      <c r="J3" s="1242"/>
      <c r="K3" s="1242"/>
      <c r="L3" s="1243"/>
      <c r="M3" s="1244"/>
      <c r="N3" s="1244"/>
      <c r="O3" s="1244"/>
      <c r="P3" s="1215"/>
      <c r="Q3" s="276"/>
      <c r="R3" s="277"/>
      <c r="S3" s="1219" t="e">
        <f>INDEX(PT_DIFFERENTIATION_NUM_TER,MATCH(B3,PT_DIFFERENTIATION_TER_ID,0))</f>
        <v>#N/A</v>
      </c>
      <c r="T3" s="228" t="s">
        <v>1463</v>
      </c>
      <c r="U3" s="218"/>
      <c r="V3" s="2215"/>
      <c r="W3" s="2216"/>
      <c r="X3" s="2216"/>
      <c r="Y3" s="2216"/>
      <c r="Z3" s="2216"/>
      <c r="AA3" s="2216"/>
      <c r="AB3" s="2216"/>
      <c r="AC3" s="2217"/>
      <c r="AD3" s="2215" t="e">
        <f>INDEX(PT_DIFFERENTIATION_TER,MATCH(B3,PT_DIFFERENTIATION_TER_ID,0))</f>
        <v>#N/A</v>
      </c>
      <c r="AE3" s="2216"/>
      <c r="AF3" s="2216"/>
      <c r="AG3" s="2216"/>
      <c r="AH3" s="2216"/>
      <c r="AI3" s="2216"/>
      <c r="AJ3" s="2216"/>
      <c r="AK3" s="2216"/>
      <c r="AL3" s="2217"/>
      <c r="AM3" s="1138" t="s">
        <v>1464</v>
      </c>
      <c r="AO3" s="428"/>
      <c r="AP3" s="428" t="str">
        <f t="shared" si="0"/>
        <v>Территория действия тарифа</v>
      </c>
      <c r="AQ3" s="428"/>
      <c r="AR3" s="428"/>
    </row>
    <row r="4" spans="1:44" ht="23.25" hidden="1" customHeight="1">
      <c r="A4" s="1242"/>
      <c r="B4" s="1242"/>
      <c r="C4" s="1242"/>
      <c r="D4" s="1242"/>
      <c r="E4" s="2222"/>
      <c r="F4" s="2222"/>
      <c r="G4" s="2221">
        <v>1</v>
      </c>
      <c r="H4" s="1242"/>
      <c r="I4" s="1242"/>
      <c r="J4" s="1242"/>
      <c r="K4" s="1242"/>
      <c r="L4" s="1243"/>
      <c r="M4" s="1244"/>
      <c r="N4" s="1244"/>
      <c r="O4" s="1244"/>
      <c r="P4" s="278"/>
      <c r="Q4" s="276"/>
      <c r="R4" s="277"/>
      <c r="S4" s="1219" t="e">
        <f>INDEX(PT_DIFFERENTIATION_NUM_CS,MATCH(C4,PT_DIFFERENTIATION_CS_ID,0))</f>
        <v>#N/A</v>
      </c>
      <c r="T4" s="229" t="s">
        <v>1465</v>
      </c>
      <c r="U4" s="218"/>
      <c r="V4" s="2215"/>
      <c r="W4" s="2216"/>
      <c r="X4" s="2216"/>
      <c r="Y4" s="2216"/>
      <c r="Z4" s="2216"/>
      <c r="AA4" s="2216"/>
      <c r="AB4" s="2216"/>
      <c r="AC4" s="2217"/>
      <c r="AD4" s="2215" t="e">
        <f>INDEX(PT_DIFFERENTIATION_CS,MATCH(C4,PT_DIFFERENTIATION_CS_ID,0))</f>
        <v>#N/A</v>
      </c>
      <c r="AE4" s="2216"/>
      <c r="AF4" s="2216"/>
      <c r="AG4" s="2216"/>
      <c r="AH4" s="2216"/>
      <c r="AI4" s="2216"/>
      <c r="AJ4" s="2216"/>
      <c r="AK4" s="2216"/>
      <c r="AL4" s="2217"/>
      <c r="AM4" s="1138" t="s">
        <v>1466</v>
      </c>
      <c r="AO4" s="428"/>
      <c r="AP4" s="428" t="str">
        <f t="shared" si="0"/>
        <v xml:space="preserve">Наименование системы теплоснабжения </v>
      </c>
      <c r="AQ4" s="428"/>
      <c r="AR4" s="428"/>
    </row>
    <row r="5" spans="1:44" ht="21" hidden="1" customHeight="1">
      <c r="A5" s="1242"/>
      <c r="B5" s="1242"/>
      <c r="C5" s="1242"/>
      <c r="D5" s="1242"/>
      <c r="E5" s="2222"/>
      <c r="F5" s="2222"/>
      <c r="G5" s="2222"/>
      <c r="H5" s="2221">
        <v>1</v>
      </c>
      <c r="I5" s="1242"/>
      <c r="J5" s="1242"/>
      <c r="K5" s="1242"/>
      <c r="L5" s="1243"/>
      <c r="M5" s="1244"/>
      <c r="N5" s="1244"/>
      <c r="O5" s="1244"/>
      <c r="P5" s="278"/>
      <c r="Q5" s="276"/>
      <c r="R5" s="277"/>
      <c r="S5" s="1219" t="e">
        <f>INDEX(PT_DIFFERENTIATION_NUM_IST_TE,MATCH(D5,PT_DIFFERENTIATION_IST_TE_ID,0))</f>
        <v>#N/A</v>
      </c>
      <c r="T5" s="230" t="s">
        <v>1467</v>
      </c>
      <c r="U5" s="218"/>
      <c r="V5" s="2215"/>
      <c r="W5" s="2216"/>
      <c r="X5" s="2216"/>
      <c r="Y5" s="2216"/>
      <c r="Z5" s="2216"/>
      <c r="AA5" s="2216"/>
      <c r="AB5" s="2216"/>
      <c r="AC5" s="2217"/>
      <c r="AD5" s="2215" t="e">
        <f>INDEX(PT_DIFFERENTIATION_IST_TE,MATCH(D5,PT_DIFFERENTIATION_IST_TE_ID,0))</f>
        <v>#N/A</v>
      </c>
      <c r="AE5" s="2216"/>
      <c r="AF5" s="2216"/>
      <c r="AG5" s="2216"/>
      <c r="AH5" s="2216"/>
      <c r="AI5" s="2216"/>
      <c r="AJ5" s="2216"/>
      <c r="AK5" s="2216"/>
      <c r="AL5" s="2217"/>
      <c r="AM5" s="1138" t="s">
        <v>1468</v>
      </c>
      <c r="AO5" s="428"/>
      <c r="AP5" s="428" t="str">
        <f t="shared" si="0"/>
        <v xml:space="preserve">Источник тепловой энергии  </v>
      </c>
      <c r="AQ5" s="428"/>
      <c r="AR5" s="428"/>
    </row>
    <row r="6" spans="1:44" ht="47.25" hidden="1" customHeight="1">
      <c r="A6" s="1242"/>
      <c r="B6" s="1242"/>
      <c r="C6" s="1242"/>
      <c r="D6" s="1242"/>
      <c r="E6" s="2222"/>
      <c r="F6" s="2222"/>
      <c r="G6" s="2222"/>
      <c r="H6" s="2222"/>
      <c r="I6" s="2223" t="e">
        <f>S5&amp;".1"</f>
        <v>#N/A</v>
      </c>
      <c r="J6" s="1242"/>
      <c r="K6" s="1242"/>
      <c r="L6" s="1243" t="s">
        <v>1469</v>
      </c>
      <c r="M6" s="464"/>
      <c r="P6" s="2143">
        <v>1</v>
      </c>
      <c r="Q6" s="1214"/>
      <c r="R6" s="280"/>
      <c r="S6" s="1219" t="e">
        <f>$I6</f>
        <v>#N/A</v>
      </c>
      <c r="T6" s="203" t="s">
        <v>1470</v>
      </c>
      <c r="U6" s="218"/>
      <c r="V6" s="2210"/>
      <c r="W6" s="2211"/>
      <c r="X6" s="2211"/>
      <c r="Y6" s="2211"/>
      <c r="Z6" s="2211"/>
      <c r="AA6" s="2211"/>
      <c r="AB6" s="2211"/>
      <c r="AC6" s="2212"/>
      <c r="AD6" s="2210"/>
      <c r="AE6" s="2211"/>
      <c r="AF6" s="2211"/>
      <c r="AG6" s="2211"/>
      <c r="AH6" s="2211"/>
      <c r="AI6" s="2211"/>
      <c r="AJ6" s="2211"/>
      <c r="AK6" s="2211"/>
      <c r="AL6" s="2212"/>
      <c r="AM6" s="1138" t="s">
        <v>1471</v>
      </c>
      <c r="AO6" s="428"/>
      <c r="AP6" s="428" t="str">
        <f t="shared" si="0"/>
        <v>Схема подключения теплопотребляющей установки к коллектору источника тепловой энергии</v>
      </c>
      <c r="AQ6" s="428"/>
      <c r="AR6" s="428"/>
    </row>
    <row r="7" spans="1:44" ht="21" hidden="1" customHeight="1">
      <c r="A7" s="1242"/>
      <c r="B7" s="1242"/>
      <c r="C7" s="1242"/>
      <c r="D7" s="1242"/>
      <c r="E7" s="2222"/>
      <c r="F7" s="2222"/>
      <c r="G7" s="2222"/>
      <c r="H7" s="2222"/>
      <c r="I7" s="2224"/>
      <c r="J7" s="2223" t="e">
        <f>I6&amp;".1"</f>
        <v>#N/A</v>
      </c>
      <c r="K7" s="1242"/>
      <c r="L7" s="1243" t="s">
        <v>1472</v>
      </c>
      <c r="M7" s="464"/>
      <c r="N7" s="1245"/>
      <c r="P7" s="2143"/>
      <c r="Q7" s="2143">
        <v>1</v>
      </c>
      <c r="R7" s="281"/>
      <c r="S7" s="1219" t="e">
        <f>$J7</f>
        <v>#N/A</v>
      </c>
      <c r="T7" s="204" t="s">
        <v>1473</v>
      </c>
      <c r="U7" s="218"/>
      <c r="V7" s="2210"/>
      <c r="W7" s="2211"/>
      <c r="X7" s="2211"/>
      <c r="Y7" s="2211"/>
      <c r="Z7" s="2211"/>
      <c r="AA7" s="2211"/>
      <c r="AB7" s="2211"/>
      <c r="AC7" s="2212"/>
      <c r="AD7" s="2210"/>
      <c r="AE7" s="2211"/>
      <c r="AF7" s="2211"/>
      <c r="AG7" s="2211"/>
      <c r="AH7" s="2211"/>
      <c r="AI7" s="2211"/>
      <c r="AJ7" s="2211"/>
      <c r="AK7" s="2211"/>
      <c r="AL7" s="2212"/>
      <c r="AM7" s="1138" t="s">
        <v>1474</v>
      </c>
      <c r="AO7" s="428"/>
      <c r="AP7" s="428" t="str">
        <f t="shared" si="0"/>
        <v>Группа потребителей</v>
      </c>
      <c r="AQ7" s="428"/>
      <c r="AR7" s="428"/>
    </row>
    <row r="8" spans="1:44" ht="21" hidden="1" customHeight="1">
      <c r="A8" s="1242"/>
      <c r="B8" s="1242"/>
      <c r="C8" s="1242"/>
      <c r="D8" s="1242"/>
      <c r="E8" s="2222"/>
      <c r="F8" s="2222"/>
      <c r="G8" s="2222"/>
      <c r="H8" s="2222"/>
      <c r="I8" s="2224"/>
      <c r="J8" s="2224"/>
      <c r="K8" s="2223" t="e">
        <f>J7&amp;".1"</f>
        <v>#N/A</v>
      </c>
      <c r="L8" s="1243" t="s">
        <v>1475</v>
      </c>
      <c r="M8" s="464"/>
      <c r="N8" s="1245"/>
      <c r="O8" s="1245"/>
      <c r="P8" s="2143"/>
      <c r="Q8" s="2143"/>
      <c r="R8" s="281">
        <v>1</v>
      </c>
      <c r="S8" s="1219" t="e">
        <f>$K8</f>
        <v>#N/A</v>
      </c>
      <c r="T8" s="1230"/>
      <c r="U8" s="218"/>
      <c r="V8" s="1664"/>
      <c r="W8" s="1665"/>
      <c r="X8" s="1664"/>
      <c r="Y8" s="1666"/>
      <c r="Z8" s="2225"/>
      <c r="AA8" s="2017" t="s">
        <v>62</v>
      </c>
      <c r="AB8" s="2225"/>
      <c r="AC8" s="2017" t="s">
        <v>62</v>
      </c>
      <c r="AD8" s="1664"/>
      <c r="AE8" s="1665"/>
      <c r="AF8" s="1664"/>
      <c r="AG8" s="1666"/>
      <c r="AH8" s="2225"/>
      <c r="AI8" s="2017" t="s">
        <v>62</v>
      </c>
      <c r="AJ8" s="2225"/>
      <c r="AK8" s="2017" t="s">
        <v>62</v>
      </c>
      <c r="AL8" s="1665"/>
      <c r="AM8" s="2243" t="s">
        <v>1476</v>
      </c>
      <c r="AN8" s="439" t="e">
        <f ca="1">STRCHECKDATE(V9:AL9)</f>
        <v>#NAME?</v>
      </c>
      <c r="AO8" s="428"/>
      <c r="AP8" s="428" t="str">
        <f t="shared" si="0"/>
        <v/>
      </c>
      <c r="AQ8" s="428"/>
      <c r="AR8" s="428"/>
    </row>
    <row r="9" spans="1:44" ht="0.75" hidden="1" customHeight="1">
      <c r="A9" s="1242"/>
      <c r="B9" s="1242"/>
      <c r="C9" s="1242"/>
      <c r="D9" s="1242"/>
      <c r="E9" s="2222"/>
      <c r="F9" s="2222"/>
      <c r="G9" s="2222"/>
      <c r="H9" s="2222"/>
      <c r="I9" s="2224"/>
      <c r="J9" s="2224"/>
      <c r="K9" s="2223"/>
      <c r="L9" s="1243"/>
      <c r="M9" s="464"/>
      <c r="N9" s="1245"/>
      <c r="O9" s="1245"/>
      <c r="P9" s="2143"/>
      <c r="Q9" s="2143"/>
      <c r="R9" s="281"/>
      <c r="S9" s="1225"/>
      <c r="T9" s="218"/>
      <c r="U9" s="218"/>
      <c r="V9" s="1665"/>
      <c r="W9" s="1665"/>
      <c r="X9" s="1665"/>
      <c r="Y9" s="1667" t="str">
        <f>Z8&amp;"-"&amp;AB8</f>
        <v>-</v>
      </c>
      <c r="Z9" s="2226"/>
      <c r="AA9" s="2017"/>
      <c r="AB9" s="2226"/>
      <c r="AC9" s="2017"/>
      <c r="AD9" s="1665"/>
      <c r="AE9" s="1665"/>
      <c r="AF9" s="1665"/>
      <c r="AG9" s="1667" t="str">
        <f>AH8&amp;"-"&amp;AJ8</f>
        <v>-</v>
      </c>
      <c r="AH9" s="2226"/>
      <c r="AI9" s="2017"/>
      <c r="AJ9" s="2226"/>
      <c r="AK9" s="2017"/>
      <c r="AL9" s="1665"/>
      <c r="AM9" s="2244"/>
      <c r="AO9" s="428"/>
      <c r="AP9" s="428" t="str">
        <f t="shared" si="0"/>
        <v/>
      </c>
      <c r="AQ9" s="428"/>
      <c r="AR9" s="428"/>
    </row>
    <row r="10" spans="1:44" ht="15" hidden="1" customHeight="1">
      <c r="A10" s="1242"/>
      <c r="B10" s="1242"/>
      <c r="C10" s="1242"/>
      <c r="D10" s="1242"/>
      <c r="E10" s="2222"/>
      <c r="F10" s="2222"/>
      <c r="G10" s="2222"/>
      <c r="H10" s="2222"/>
      <c r="I10" s="2224"/>
      <c r="J10" s="2223"/>
      <c r="K10" s="1242"/>
      <c r="L10" s="1243"/>
      <c r="M10" s="464"/>
      <c r="N10" s="1245"/>
      <c r="P10" s="2143"/>
      <c r="Q10" s="2143"/>
      <c r="R10" s="280"/>
      <c r="S10" s="1159"/>
      <c r="T10" s="206" t="s">
        <v>1477</v>
      </c>
      <c r="U10" s="294"/>
      <c r="V10" s="294"/>
      <c r="W10" s="294"/>
      <c r="X10" s="294"/>
      <c r="Y10" s="294"/>
      <c r="Z10" s="294"/>
      <c r="AA10" s="294"/>
      <c r="AB10" s="294"/>
      <c r="AC10" s="294"/>
      <c r="AD10" s="294"/>
      <c r="AE10" s="294"/>
      <c r="AF10" s="294"/>
      <c r="AG10" s="294"/>
      <c r="AH10" s="294"/>
      <c r="AI10" s="294"/>
      <c r="AJ10" s="294"/>
      <c r="AK10" s="294"/>
      <c r="AL10" s="251"/>
      <c r="AM10" s="2245"/>
      <c r="AO10" s="428"/>
      <c r="AP10" s="428" t="str">
        <f t="shared" si="0"/>
        <v>Добавить вид теплоносителя (параметры теплоносителя)</v>
      </c>
      <c r="AQ10" s="428"/>
      <c r="AR10" s="428"/>
    </row>
    <row r="11" spans="1:44" ht="15" hidden="1" customHeight="1">
      <c r="A11" s="1242"/>
      <c r="B11" s="1242"/>
      <c r="C11" s="1242"/>
      <c r="D11" s="1242"/>
      <c r="E11" s="2222"/>
      <c r="F11" s="2222"/>
      <c r="G11" s="2222"/>
      <c r="H11" s="2222"/>
      <c r="I11" s="2223"/>
      <c r="J11" s="1242"/>
      <c r="K11" s="1242"/>
      <c r="L11" s="1243"/>
      <c r="M11" s="464"/>
      <c r="P11" s="2143"/>
      <c r="Q11" s="1214"/>
      <c r="R11" s="280"/>
      <c r="S11" s="1159"/>
      <c r="T11" s="205" t="s">
        <v>1478</v>
      </c>
      <c r="U11" s="294"/>
      <c r="V11" s="294"/>
      <c r="W11" s="294"/>
      <c r="X11" s="294"/>
      <c r="Y11" s="294"/>
      <c r="Z11" s="294"/>
      <c r="AA11" s="294"/>
      <c r="AB11" s="294"/>
      <c r="AC11" s="293"/>
      <c r="AD11" s="294"/>
      <c r="AE11" s="294"/>
      <c r="AF11" s="294"/>
      <c r="AG11" s="294"/>
      <c r="AH11" s="294"/>
      <c r="AI11" s="294"/>
      <c r="AJ11" s="294"/>
      <c r="AK11" s="293"/>
      <c r="AL11" s="294"/>
      <c r="AM11" s="221"/>
      <c r="AO11" s="428"/>
      <c r="AP11" s="428" t="str">
        <f t="shared" si="0"/>
        <v>Добавить группу потребителей</v>
      </c>
      <c r="AQ11" s="428"/>
      <c r="AR11" s="428"/>
    </row>
    <row r="12" spans="1:44" ht="14.25" hidden="1" customHeight="1">
      <c r="A12" s="1242"/>
      <c r="B12" s="1242"/>
      <c r="C12" s="1242"/>
      <c r="D12" s="1242"/>
      <c r="E12" s="2222"/>
      <c r="F12" s="2222"/>
      <c r="G12" s="2222"/>
      <c r="H12" s="2221"/>
      <c r="I12" s="1242"/>
      <c r="J12" s="1242"/>
      <c r="K12" s="1242"/>
      <c r="L12" s="1243"/>
      <c r="M12" s="1244"/>
      <c r="N12" s="1244"/>
      <c r="O12" s="464"/>
      <c r="P12" s="284"/>
      <c r="Q12" s="303"/>
      <c r="R12" s="279"/>
      <c r="S12" s="1159"/>
      <c r="T12" s="291" t="s">
        <v>1479</v>
      </c>
      <c r="U12" s="294"/>
      <c r="V12" s="294"/>
      <c r="W12" s="294"/>
      <c r="X12" s="294"/>
      <c r="Y12" s="294"/>
      <c r="Z12" s="294"/>
      <c r="AA12" s="294"/>
      <c r="AB12" s="294"/>
      <c r="AC12" s="293"/>
      <c r="AD12" s="294"/>
      <c r="AE12" s="294"/>
      <c r="AF12" s="294"/>
      <c r="AG12" s="294"/>
      <c r="AH12" s="294"/>
      <c r="AI12" s="294"/>
      <c r="AJ12" s="294"/>
      <c r="AK12" s="293"/>
      <c r="AL12" s="294"/>
      <c r="AM12" s="221"/>
      <c r="AO12" s="428"/>
      <c r="AP12" s="428" t="str">
        <f t="shared" si="0"/>
        <v>Добавить схему подключения</v>
      </c>
      <c r="AQ12" s="428"/>
      <c r="AR12" s="428"/>
    </row>
    <row r="13" spans="1:44" s="1755" customFormat="1" ht="0.75" hidden="1" customHeight="1">
      <c r="A13" s="1198"/>
      <c r="B13" s="1198"/>
      <c r="C13" s="1198"/>
      <c r="D13" s="1198"/>
      <c r="E13" s="2222"/>
      <c r="F13" s="2222"/>
      <c r="G13" s="2221"/>
      <c r="H13" s="1198"/>
      <c r="I13" s="1198"/>
      <c r="J13" s="1198"/>
      <c r="K13" s="1198"/>
      <c r="L13" s="1222"/>
      <c r="M13" s="1199"/>
      <c r="N13" s="1199"/>
      <c r="P13" s="1200"/>
      <c r="Q13" s="1201"/>
      <c r="R13" s="1200"/>
      <c r="S13" s="1202"/>
      <c r="T13" s="1203" t="s">
        <v>1438</v>
      </c>
      <c r="U13" s="1204"/>
      <c r="V13" s="1204"/>
      <c r="W13" s="1204"/>
      <c r="X13" s="1204"/>
      <c r="Y13" s="1204"/>
      <c r="Z13" s="1204"/>
      <c r="AA13" s="1204"/>
      <c r="AB13" s="1204"/>
      <c r="AC13" s="1204"/>
      <c r="AD13" s="1204"/>
      <c r="AE13" s="1204"/>
      <c r="AF13" s="1204"/>
      <c r="AG13" s="1204"/>
      <c r="AH13" s="1204"/>
      <c r="AI13" s="1204"/>
      <c r="AJ13" s="1204"/>
      <c r="AK13" s="1204"/>
      <c r="AL13" s="1204"/>
      <c r="AM13" s="1204"/>
      <c r="AO13" s="695"/>
      <c r="AP13" s="695" t="str">
        <f t="shared" si="0"/>
        <v>Добавить источник для дифференциации</v>
      </c>
      <c r="AQ13" s="695"/>
      <c r="AR13" s="695"/>
    </row>
    <row r="14" spans="1:44" s="1755" customFormat="1" ht="0.75" hidden="1" customHeight="1">
      <c r="A14" s="1198"/>
      <c r="B14" s="1198"/>
      <c r="C14" s="1198"/>
      <c r="D14" s="1198"/>
      <c r="E14" s="2222"/>
      <c r="F14" s="2221"/>
      <c r="G14" s="1198"/>
      <c r="H14" s="1198"/>
      <c r="I14" s="1198"/>
      <c r="J14" s="1198"/>
      <c r="K14" s="1198"/>
      <c r="L14" s="1222"/>
      <c r="M14" s="1205"/>
      <c r="N14" s="1205"/>
      <c r="P14" s="1200"/>
      <c r="Q14" s="1201"/>
      <c r="R14" s="1200"/>
      <c r="S14" s="1206"/>
      <c r="T14" s="1207" t="s">
        <v>1439</v>
      </c>
      <c r="U14" s="1208"/>
      <c r="V14" s="1208"/>
      <c r="W14" s="1208"/>
      <c r="X14" s="1208"/>
      <c r="Y14" s="1208"/>
      <c r="Z14" s="1208"/>
      <c r="AA14" s="1208"/>
      <c r="AB14" s="1208"/>
      <c r="AC14" s="1208"/>
      <c r="AD14" s="1208"/>
      <c r="AE14" s="1208"/>
      <c r="AF14" s="1208"/>
      <c r="AG14" s="1208"/>
      <c r="AH14" s="1208"/>
      <c r="AI14" s="1208"/>
      <c r="AJ14" s="1208"/>
      <c r="AK14" s="1208"/>
      <c r="AL14" s="1208"/>
      <c r="AM14" s="1208"/>
      <c r="AO14" s="695"/>
      <c r="AP14" s="695" t="str">
        <f t="shared" si="0"/>
        <v>Добавить централизованную систему для дифференциации</v>
      </c>
      <c r="AQ14" s="695"/>
      <c r="AR14" s="695"/>
    </row>
    <row r="15" spans="1:44" s="1755" customFormat="1" ht="0.75" hidden="1" customHeight="1">
      <c r="A15" s="1198"/>
      <c r="B15" s="1198"/>
      <c r="C15" s="1198"/>
      <c r="D15" s="1198"/>
      <c r="E15" s="2221"/>
      <c r="F15" s="1198"/>
      <c r="G15" s="1198"/>
      <c r="H15" s="1198"/>
      <c r="I15" s="1198"/>
      <c r="J15" s="1198"/>
      <c r="K15" s="1198"/>
      <c r="L15" s="1222"/>
      <c r="M15" s="1205"/>
      <c r="N15" s="1205"/>
      <c r="P15" s="1200"/>
      <c r="Q15" s="1201"/>
      <c r="R15" s="1200"/>
      <c r="S15" s="1206"/>
      <c r="T15" s="1209" t="s">
        <v>1440</v>
      </c>
      <c r="U15" s="1208"/>
      <c r="V15" s="1208"/>
      <c r="W15" s="1208"/>
      <c r="X15" s="1208"/>
      <c r="Y15" s="1208"/>
      <c r="Z15" s="1208"/>
      <c r="AA15" s="1208"/>
      <c r="AB15" s="1208"/>
      <c r="AC15" s="1208"/>
      <c r="AD15" s="1208"/>
      <c r="AE15" s="1208"/>
      <c r="AF15" s="1208"/>
      <c r="AG15" s="1208"/>
      <c r="AH15" s="1208"/>
      <c r="AI15" s="1208"/>
      <c r="AJ15" s="1208"/>
      <c r="AK15" s="1208"/>
      <c r="AL15" s="1208"/>
      <c r="AM15" s="1208"/>
      <c r="AO15" s="695"/>
      <c r="AP15" s="695" t="str">
        <f t="shared" si="0"/>
        <v>Добавить территорию для дифференциации</v>
      </c>
      <c r="AQ15" s="695"/>
      <c r="AR15" s="695"/>
    </row>
    <row r="16" spans="1:44" ht="14.25" hidden="1" customHeight="1">
      <c r="AC16" s="254"/>
      <c r="AK16" s="254"/>
    </row>
    <row r="17" spans="1:44" ht="14.25" hidden="1" customHeight="1">
      <c r="AD17" s="1668"/>
      <c r="AE17" s="1668"/>
      <c r="AF17" s="1668"/>
      <c r="AG17" s="1669"/>
      <c r="AH17" s="2219"/>
      <c r="AI17" s="2218" t="s">
        <v>62</v>
      </c>
      <c r="AJ17" s="2219"/>
      <c r="AK17" s="2218" t="s">
        <v>62</v>
      </c>
    </row>
    <row r="18" spans="1:44" ht="14.25" hidden="1" customHeight="1">
      <c r="AD18" s="1668"/>
      <c r="AE18" s="1668"/>
      <c r="AF18" s="1668"/>
      <c r="AG18" s="1667" t="str">
        <f>AH17&amp;"-"&amp;AJ17</f>
        <v>-</v>
      </c>
      <c r="AH18" s="2218"/>
      <c r="AI18" s="2218"/>
      <c r="AJ18" s="2218"/>
      <c r="AK18" s="2218"/>
    </row>
    <row r="19" spans="1:44" ht="14.25" hidden="1" customHeight="1">
      <c r="AK19" s="254"/>
    </row>
    <row r="20" spans="1:44" s="1742" customFormat="1" ht="22.5" hidden="1" customHeight="1">
      <c r="L20" s="1212"/>
      <c r="M20" s="1241"/>
      <c r="N20" s="1241"/>
      <c r="O20" s="1246" t="s">
        <v>1480</v>
      </c>
      <c r="P20" s="1241"/>
      <c r="Q20" s="1250"/>
      <c r="R20" s="1250"/>
      <c r="S20" s="643"/>
      <c r="Z20" s="1246"/>
      <c r="AB20" s="1246"/>
      <c r="AC20" s="1245"/>
      <c r="AH20" s="1246"/>
      <c r="AJ20" s="1246"/>
      <c r="AK20" s="1245"/>
      <c r="AN20" s="439"/>
      <c r="AO20" s="439"/>
      <c r="AP20" s="439"/>
      <c r="AQ20" s="439"/>
      <c r="AR20" s="439"/>
    </row>
    <row r="21" spans="1:44" s="1742" customFormat="1" ht="14.25" hidden="1" customHeight="1">
      <c r="L21" s="1212"/>
      <c r="M21" s="1241"/>
      <c r="N21" s="1241"/>
      <c r="O21" s="1241"/>
      <c r="P21" s="1241"/>
      <c r="Q21" s="1250"/>
      <c r="R21" s="1250"/>
      <c r="S21" s="643"/>
      <c r="AC21" s="1245"/>
      <c r="AK21" s="1245"/>
      <c r="AN21" s="439"/>
      <c r="AO21" s="439"/>
      <c r="AP21" s="439"/>
      <c r="AQ21" s="439"/>
      <c r="AR21" s="439"/>
    </row>
    <row r="22" spans="1:44" s="1742" customFormat="1" ht="14.25" hidden="1" customHeight="1">
      <c r="L22" s="1212"/>
      <c r="M22" s="1241"/>
      <c r="N22" s="1241"/>
      <c r="O22" s="1243" t="s">
        <v>1481</v>
      </c>
      <c r="P22" s="1241"/>
      <c r="Q22" s="1250"/>
      <c r="R22" s="1250"/>
      <c r="S22" s="643"/>
      <c r="T22" s="1034" t="s">
        <v>1482</v>
      </c>
      <c r="AA22" s="111" t="s">
        <v>1483</v>
      </c>
      <c r="AC22" s="111" t="s">
        <v>1484</v>
      </c>
      <c r="AD22" s="1034" t="s">
        <v>1482</v>
      </c>
      <c r="AI22" s="111" t="s">
        <v>1485</v>
      </c>
      <c r="AK22" s="111" t="s">
        <v>1484</v>
      </c>
      <c r="AN22" s="439"/>
      <c r="AO22" s="439"/>
      <c r="AP22" s="439"/>
      <c r="AQ22" s="439"/>
      <c r="AR22" s="439"/>
    </row>
    <row r="23" spans="1:44" ht="14.25" hidden="1" customHeight="1">
      <c r="O23" s="1243"/>
    </row>
    <row r="24" spans="1:44" ht="14.25" hidden="1" customHeight="1">
      <c r="O24" s="1243"/>
    </row>
    <row r="25" spans="1:44" ht="14.25" customHeight="1">
      <c r="Q25" s="304"/>
      <c r="R25" s="304"/>
      <c r="S25" s="1156"/>
      <c r="T25" s="289"/>
      <c r="U25" s="289"/>
      <c r="V25" s="437"/>
      <c r="W25" s="437"/>
      <c r="X25" s="437"/>
      <c r="Y25" s="437"/>
      <c r="Z25" s="437"/>
      <c r="AA25" s="437"/>
      <c r="AB25" s="437"/>
      <c r="AC25" s="437"/>
      <c r="AD25" s="437"/>
      <c r="AE25" s="437"/>
      <c r="AF25" s="437"/>
      <c r="AG25" s="437"/>
      <c r="AH25" s="437"/>
      <c r="AI25" s="437"/>
      <c r="AJ25" s="437"/>
      <c r="AK25" s="437"/>
    </row>
    <row r="26" spans="1:44" ht="64.5" customHeight="1">
      <c r="Q26" s="304"/>
      <c r="R26" s="304"/>
      <c r="S26" s="2065" t="str">
        <f>IF(TEMPLATE_GROUP="P",PT_P_FORM_HEAT_4_NAME_FORM,PT_R_FORM_HEAT_21_NAME_FORM)</f>
        <v>Форма 21. Информация о расчетной величине тарифов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 тарифов на тепловую энергию (мощность), поставляемую теплоснабжающими организациями потребителям, другим теплоснабжающим организациям, об установленной плате за услуги по поддержанию резервной тепловой мощности при отсутствии потребления тепловой энергии  &lt;1&gt;</v>
      </c>
      <c r="T26" s="2065"/>
      <c r="U26" s="2065"/>
      <c r="V26" s="2065"/>
      <c r="W26" s="2065"/>
      <c r="X26" s="2065"/>
      <c r="Y26" s="2065"/>
      <c r="Z26" s="2065"/>
      <c r="AA26" s="2065"/>
      <c r="AB26" s="2065"/>
      <c r="AC26" s="2065"/>
      <c r="AD26" s="2065"/>
      <c r="AE26" s="2065"/>
      <c r="AF26" s="2065"/>
      <c r="AG26" s="2065"/>
      <c r="AH26" s="2065"/>
      <c r="AI26" s="2065"/>
      <c r="AJ26" s="2065"/>
      <c r="AK26" s="1114"/>
    </row>
    <row r="27" spans="1:44" ht="14.25" customHeight="1">
      <c r="Q27" s="304"/>
      <c r="R27" s="304"/>
      <c r="S27" s="2088" t="str">
        <f>IF(org=0,"Не определено",org)</f>
        <v>МУП г. Астрахани "Коммунэнерго"</v>
      </c>
      <c r="T27" s="2088"/>
      <c r="U27" s="2088"/>
      <c r="V27" s="2088"/>
      <c r="W27" s="2088"/>
      <c r="X27" s="2088"/>
      <c r="Y27" s="2088"/>
      <c r="Z27" s="2088"/>
      <c r="AA27" s="2088"/>
      <c r="AB27" s="2088"/>
      <c r="AC27" s="2088"/>
      <c r="AD27" s="2088"/>
      <c r="AE27" s="2088"/>
      <c r="AF27" s="2088"/>
      <c r="AG27" s="2088"/>
      <c r="AH27" s="2088"/>
      <c r="AI27" s="2088"/>
      <c r="AJ27" s="2088"/>
      <c r="AK27" s="1114"/>
    </row>
    <row r="28" spans="1:44" ht="14.25" hidden="1" customHeight="1">
      <c r="Q28" s="304"/>
      <c r="R28" s="304"/>
      <c r="S28" s="1156"/>
      <c r="T28" s="289"/>
      <c r="U28" s="289"/>
      <c r="V28" s="248"/>
      <c r="W28" s="248"/>
      <c r="X28" s="248"/>
      <c r="Y28" s="248"/>
      <c r="Z28" s="248"/>
      <c r="AA28" s="248"/>
      <c r="AB28" s="248"/>
      <c r="AC28" s="248"/>
      <c r="AD28" s="248"/>
      <c r="AE28" s="248"/>
      <c r="AF28" s="248"/>
      <c r="AG28" s="248"/>
      <c r="AH28" s="248"/>
      <c r="AI28" s="248"/>
      <c r="AJ28" s="248"/>
      <c r="AK28" s="248"/>
      <c r="AL28" s="437"/>
    </row>
    <row r="29" spans="1:44" s="1933" customFormat="1" ht="25.5" hidden="1" customHeight="1">
      <c r="A29" s="1247"/>
      <c r="B29" s="1247"/>
      <c r="C29" s="1247"/>
      <c r="D29" s="1247"/>
      <c r="E29" s="1247"/>
      <c r="F29" s="1247"/>
      <c r="G29" s="1247"/>
      <c r="H29" s="1247"/>
      <c r="I29" s="1247"/>
      <c r="J29" s="1247"/>
      <c r="K29" s="1247"/>
      <c r="L29" s="1248"/>
      <c r="M29" s="1247"/>
      <c r="N29" s="1247"/>
      <c r="O29" s="1247"/>
      <c r="S29" s="2213" t="s">
        <v>38</v>
      </c>
      <c r="T29" s="2213"/>
      <c r="U29" s="1251"/>
      <c r="V29" s="2214" t="str">
        <f>IF(TITLE_NAME_OR_PR_CHANGE="",IF(TITLE_NAME_OR_PR="","",TITLE_NAME_OR_PR),TITLE_NAME_OR_PR_CHANGE)</f>
        <v/>
      </c>
      <c r="W29" s="2214"/>
      <c r="X29" s="2214"/>
      <c r="Y29" s="2214"/>
      <c r="Z29" s="2214"/>
      <c r="AA29" s="2214"/>
      <c r="AB29" s="2214"/>
      <c r="AC29" s="253"/>
      <c r="AD29" s="2214" t="str">
        <f>IF(TITLE_NAME_OR_PR_CHANGE="",IF(TITLE_NAME_OR_PR="","",TITLE_NAME_OR_PR),TITLE_NAME_OR_PR_CHANGE)</f>
        <v/>
      </c>
      <c r="AE29" s="2214"/>
      <c r="AF29" s="2214"/>
      <c r="AG29" s="2214"/>
      <c r="AH29" s="2214"/>
      <c r="AI29" s="2214"/>
      <c r="AJ29" s="2214"/>
      <c r="AK29" s="253"/>
      <c r="AL29" s="253"/>
      <c r="AM29" s="199"/>
      <c r="AN29" s="295"/>
      <c r="AO29" s="295"/>
      <c r="AP29" s="295"/>
      <c r="AQ29" s="295"/>
      <c r="AR29" s="295"/>
    </row>
    <row r="30" spans="1:44" s="1933" customFormat="1" ht="18.75" hidden="1" customHeight="1">
      <c r="A30" s="1247"/>
      <c r="B30" s="1247"/>
      <c r="C30" s="1247"/>
      <c r="D30" s="1247"/>
      <c r="E30" s="1247"/>
      <c r="F30" s="1247"/>
      <c r="G30" s="1247"/>
      <c r="H30" s="1247"/>
      <c r="I30" s="1247"/>
      <c r="J30" s="1247"/>
      <c r="K30" s="1247"/>
      <c r="L30" s="1248"/>
      <c r="M30" s="1247"/>
      <c r="N30" s="1247"/>
      <c r="O30" s="1247"/>
      <c r="S30" s="2213" t="s">
        <v>1486</v>
      </c>
      <c r="T30" s="2213"/>
      <c r="U30" s="1251"/>
      <c r="V30" s="2214" t="str">
        <f>IF(TITLE_DATE_CHANGE_PERIOD="",IF(TITLE_DATE_PR="","",TITLE_DATE_PR),TITLE_DATE_CHANGE_PERIOD)</f>
        <v/>
      </c>
      <c r="W30" s="2214"/>
      <c r="X30" s="2214"/>
      <c r="Y30" s="2214"/>
      <c r="Z30" s="2214"/>
      <c r="AA30" s="2214"/>
      <c r="AB30" s="2214"/>
      <c r="AC30" s="253"/>
      <c r="AD30" s="2214" t="str">
        <f>IF(TITLE_DATE_CHANGE_PERIOD="",IF(TITLE_DATE_PR="","",TITLE_DATE_PR),TITLE_DATE_CHANGE_PERIOD)</f>
        <v/>
      </c>
      <c r="AE30" s="2214"/>
      <c r="AF30" s="2214"/>
      <c r="AG30" s="2214"/>
      <c r="AH30" s="2214"/>
      <c r="AI30" s="2214"/>
      <c r="AJ30" s="2214"/>
      <c r="AK30" s="253"/>
      <c r="AL30" s="253"/>
      <c r="AM30" s="199"/>
      <c r="AN30" s="295"/>
      <c r="AO30" s="295"/>
      <c r="AP30" s="295"/>
      <c r="AQ30" s="295"/>
      <c r="AR30" s="295"/>
    </row>
    <row r="31" spans="1:44" s="1933" customFormat="1" ht="18.75" hidden="1" customHeight="1">
      <c r="A31" s="1247"/>
      <c r="B31" s="1247"/>
      <c r="C31" s="1247"/>
      <c r="D31" s="1247"/>
      <c r="E31" s="1247"/>
      <c r="F31" s="1247"/>
      <c r="G31" s="1247"/>
      <c r="H31" s="1247"/>
      <c r="I31" s="1247"/>
      <c r="J31" s="1247"/>
      <c r="K31" s="1247"/>
      <c r="L31" s="1248"/>
      <c r="M31" s="1247"/>
      <c r="N31" s="1247"/>
      <c r="O31" s="1247"/>
      <c r="S31" s="2213" t="s">
        <v>1487</v>
      </c>
      <c r="T31" s="2213"/>
      <c r="U31" s="1251"/>
      <c r="V31" s="2214" t="str">
        <f>IF(TITLE_NUMBER_PR_CHANGE="",IF(TITLE_NUMBER_PR="","",TITLE_NUMBER_PR),TITLE_NUMBER_PR_CHANGE)</f>
        <v/>
      </c>
      <c r="W31" s="2214"/>
      <c r="X31" s="2214"/>
      <c r="Y31" s="2214"/>
      <c r="Z31" s="2214"/>
      <c r="AA31" s="2214"/>
      <c r="AB31" s="2214"/>
      <c r="AC31" s="253"/>
      <c r="AD31" s="2214" t="str">
        <f>IF(TITLE_NUMBER_PR_CHANGE="",IF(TITLE_NUMBER_PR="","",TITLE_NUMBER_PR),TITLE_NUMBER_PR_CHANGE)</f>
        <v/>
      </c>
      <c r="AE31" s="2214"/>
      <c r="AF31" s="2214"/>
      <c r="AG31" s="2214"/>
      <c r="AH31" s="2214"/>
      <c r="AI31" s="2214"/>
      <c r="AJ31" s="2214"/>
      <c r="AK31" s="253"/>
      <c r="AL31" s="253"/>
      <c r="AM31" s="199"/>
      <c r="AN31" s="295"/>
      <c r="AO31" s="295"/>
      <c r="AP31" s="295"/>
      <c r="AQ31" s="295"/>
      <c r="AR31" s="295"/>
    </row>
    <row r="32" spans="1:44" s="1933" customFormat="1" ht="18.75" hidden="1" customHeight="1">
      <c r="A32" s="1247"/>
      <c r="B32" s="1247"/>
      <c r="C32" s="1247"/>
      <c r="D32" s="1247"/>
      <c r="E32" s="1247"/>
      <c r="F32" s="1247"/>
      <c r="G32" s="1247"/>
      <c r="H32" s="1247"/>
      <c r="I32" s="1247"/>
      <c r="J32" s="1247"/>
      <c r="K32" s="1247"/>
      <c r="L32" s="1248"/>
      <c r="M32" s="1247"/>
      <c r="N32" s="1247"/>
      <c r="O32" s="1247"/>
      <c r="S32" s="2213" t="s">
        <v>39</v>
      </c>
      <c r="T32" s="2213"/>
      <c r="U32" s="1251"/>
      <c r="V32" s="2214" t="str">
        <f>IF(TITLE_IST_PUB_CHANGE="",IF(TITLE_IST_PUB="","",TITLE_IST_PUB),TITLE_IST_PUB_CHANGE)</f>
        <v/>
      </c>
      <c r="W32" s="2214"/>
      <c r="X32" s="2214"/>
      <c r="Y32" s="2214"/>
      <c r="Z32" s="2214"/>
      <c r="AA32" s="2214"/>
      <c r="AB32" s="2214"/>
      <c r="AC32" s="253"/>
      <c r="AD32" s="2214" t="str">
        <f>IF(TITLE_IST_PUB_CHANGE="",IF(TITLE_IST_PUB="","",TITLE_IST_PUB),TITLE_IST_PUB_CHANGE)</f>
        <v/>
      </c>
      <c r="AE32" s="2214"/>
      <c r="AF32" s="2214"/>
      <c r="AG32" s="2214"/>
      <c r="AH32" s="2214"/>
      <c r="AI32" s="2214"/>
      <c r="AJ32" s="2214"/>
      <c r="AK32" s="253"/>
      <c r="AL32" s="253"/>
      <c r="AM32" s="199"/>
      <c r="AN32" s="295"/>
      <c r="AO32" s="295"/>
      <c r="AP32" s="295"/>
      <c r="AQ32" s="295"/>
      <c r="AR32" s="295"/>
    </row>
    <row r="33" spans="1:44" ht="14.25" hidden="1" customHeight="1">
      <c r="Q33" s="304"/>
      <c r="R33" s="304"/>
      <c r="S33" s="1156"/>
      <c r="T33" s="289"/>
      <c r="U33" s="289"/>
      <c r="V33" s="248"/>
      <c r="W33" s="248"/>
      <c r="X33" s="248"/>
      <c r="Y33" s="248"/>
      <c r="Z33" s="248"/>
      <c r="AA33" s="248"/>
      <c r="AB33" s="248"/>
      <c r="AC33" s="248"/>
      <c r="AD33" s="248"/>
      <c r="AE33" s="248"/>
      <c r="AF33" s="248"/>
      <c r="AG33" s="248"/>
      <c r="AH33" s="248"/>
      <c r="AI33" s="248"/>
      <c r="AJ33" s="248"/>
      <c r="AK33" s="248"/>
      <c r="AL33" s="437"/>
    </row>
    <row r="34" spans="1:44" s="1933" customFormat="1" ht="18.75" hidden="1" customHeight="1">
      <c r="A34" s="1247"/>
      <c r="B34" s="1247"/>
      <c r="C34" s="1247"/>
      <c r="D34" s="1247"/>
      <c r="E34" s="1247"/>
      <c r="F34" s="1247"/>
      <c r="G34" s="1247"/>
      <c r="H34" s="1247"/>
      <c r="I34" s="1247"/>
      <c r="J34" s="1247"/>
      <c r="K34" s="1247"/>
      <c r="L34" s="1248"/>
      <c r="M34" s="1247"/>
      <c r="N34" s="1247"/>
      <c r="O34" s="1247"/>
      <c r="S34" s="2213" t="s">
        <v>1488</v>
      </c>
      <c r="T34" s="2213"/>
      <c r="U34" s="1251"/>
      <c r="V34" s="2214" t="str">
        <f>IF(TITLE_DATE_CHANGE_PERIOD="",IF(TITLE_DATE_PR="","",TITLE_DATE_PR),TITLE_DATE_CHANGE_PERIOD)</f>
        <v/>
      </c>
      <c r="W34" s="2214"/>
      <c r="X34" s="2214"/>
      <c r="Y34" s="2214"/>
      <c r="Z34" s="2214"/>
      <c r="AA34" s="2214"/>
      <c r="AB34" s="2214"/>
      <c r="AC34" s="253"/>
      <c r="AD34" s="2214" t="str">
        <f>IF(TITLE_DATE_CHANGE_PERIOD="",IF(TITLE_DATE_PR="","",TITLE_DATE_PR),TITLE_DATE_CHANGE_PERIOD)</f>
        <v/>
      </c>
      <c r="AE34" s="2214"/>
      <c r="AF34" s="2214"/>
      <c r="AG34" s="2214"/>
      <c r="AH34" s="2214"/>
      <c r="AI34" s="2214"/>
      <c r="AJ34" s="2214"/>
      <c r="AK34" s="253"/>
      <c r="AL34" s="253"/>
      <c r="AM34" s="199"/>
      <c r="AN34" s="295"/>
      <c r="AO34" s="295"/>
      <c r="AP34" s="295"/>
      <c r="AQ34" s="295"/>
      <c r="AR34" s="295"/>
    </row>
    <row r="35" spans="1:44" s="1933" customFormat="1" ht="18.75" hidden="1" customHeight="1">
      <c r="A35" s="1247"/>
      <c r="B35" s="1247"/>
      <c r="C35" s="1247"/>
      <c r="D35" s="1247"/>
      <c r="E35" s="1247"/>
      <c r="F35" s="1247"/>
      <c r="G35" s="1247"/>
      <c r="H35" s="1247"/>
      <c r="I35" s="1247"/>
      <c r="J35" s="1247"/>
      <c r="K35" s="1247"/>
      <c r="L35" s="1248"/>
      <c r="M35" s="1247"/>
      <c r="N35" s="1247"/>
      <c r="O35" s="1247"/>
      <c r="S35" s="2213" t="s">
        <v>1489</v>
      </c>
      <c r="T35" s="2213"/>
      <c r="U35" s="1251"/>
      <c r="V35" s="2214" t="str">
        <f>IF(TITLE_NUMBER_PR_CHANGE="",IF(TITLE_NUMBER_PR="","",TITLE_NUMBER_PR),TITLE_NUMBER_PR_CHANGE)</f>
        <v/>
      </c>
      <c r="W35" s="2214"/>
      <c r="X35" s="2214"/>
      <c r="Y35" s="2214"/>
      <c r="Z35" s="2214"/>
      <c r="AA35" s="2214"/>
      <c r="AB35" s="2214"/>
      <c r="AC35" s="253"/>
      <c r="AD35" s="2214" t="str">
        <f>IF(TITLE_NUMBER_PR_CHANGE="",IF(TITLE_NUMBER_PR="","",TITLE_NUMBER_PR),TITLE_NUMBER_PR_CHANGE)</f>
        <v/>
      </c>
      <c r="AE35" s="2214"/>
      <c r="AF35" s="2214"/>
      <c r="AG35" s="2214"/>
      <c r="AH35" s="2214"/>
      <c r="AI35" s="2214"/>
      <c r="AJ35" s="2214"/>
      <c r="AK35" s="253"/>
      <c r="AL35" s="253"/>
      <c r="AM35" s="199"/>
      <c r="AN35" s="295"/>
      <c r="AO35" s="295"/>
      <c r="AP35" s="295"/>
      <c r="AQ35" s="295"/>
      <c r="AR35" s="295"/>
    </row>
    <row r="36" spans="1:44" s="1933" customFormat="1" ht="0" hidden="1" customHeight="1">
      <c r="A36" s="1247"/>
      <c r="B36" s="1247"/>
      <c r="C36" s="1247"/>
      <c r="D36" s="1247"/>
      <c r="E36" s="1247"/>
      <c r="F36" s="1247"/>
      <c r="G36" s="1247"/>
      <c r="H36" s="1247"/>
      <c r="I36" s="1247"/>
      <c r="J36" s="1247"/>
      <c r="K36" s="1247"/>
      <c r="L36" s="1248"/>
      <c r="M36" s="1247"/>
      <c r="N36" s="1247"/>
      <c r="O36" s="1247"/>
      <c r="S36" s="250"/>
      <c r="T36" s="250"/>
      <c r="U36" s="1223"/>
      <c r="V36" s="253"/>
      <c r="W36" s="253"/>
      <c r="X36" s="253"/>
      <c r="Y36" s="253"/>
      <c r="Z36" s="253"/>
      <c r="AA36" s="253"/>
      <c r="AB36" s="253"/>
      <c r="AC36" s="197" t="s">
        <v>1490</v>
      </c>
      <c r="AD36" s="253"/>
      <c r="AE36" s="253"/>
      <c r="AF36" s="253"/>
      <c r="AG36" s="253"/>
      <c r="AH36" s="253"/>
      <c r="AI36" s="253"/>
      <c r="AJ36" s="253"/>
      <c r="AK36" s="197" t="s">
        <v>1490</v>
      </c>
      <c r="AN36" s="295"/>
      <c r="AO36" s="295"/>
      <c r="AP36" s="295"/>
      <c r="AQ36" s="295"/>
      <c r="AR36" s="295"/>
    </row>
    <row r="37" spans="1:44" ht="14.25" customHeight="1">
      <c r="Q37" s="304"/>
      <c r="R37" s="304"/>
      <c r="S37" s="1156"/>
      <c r="T37" s="289"/>
      <c r="U37" s="1115"/>
      <c r="V37" s="2232"/>
      <c r="W37" s="2232"/>
      <c r="X37" s="2232"/>
      <c r="Y37" s="2232"/>
      <c r="Z37" s="2232"/>
      <c r="AA37" s="2232"/>
      <c r="AB37" s="2232"/>
      <c r="AC37" s="2232"/>
      <c r="AD37" s="2232"/>
      <c r="AE37" s="2232"/>
      <c r="AF37" s="2232"/>
      <c r="AG37" s="2232"/>
      <c r="AH37" s="2232"/>
      <c r="AI37" s="2232"/>
      <c r="AJ37" s="2232"/>
      <c r="AK37" s="2232"/>
    </row>
    <row r="38" spans="1:44" ht="14.25" customHeight="1">
      <c r="Q38" s="304"/>
      <c r="R38" s="304"/>
      <c r="S38" s="2007" t="s">
        <v>292</v>
      </c>
      <c r="T38" s="2007"/>
      <c r="U38" s="2007"/>
      <c r="V38" s="2007"/>
      <c r="W38" s="2007"/>
      <c r="X38" s="2007"/>
      <c r="Y38" s="2007"/>
      <c r="Z38" s="2007"/>
      <c r="AA38" s="2007"/>
      <c r="AB38" s="2007"/>
      <c r="AC38" s="2007"/>
      <c r="AD38" s="2007"/>
      <c r="AE38" s="2007"/>
      <c r="AF38" s="2007"/>
      <c r="AG38" s="2007"/>
      <c r="AH38" s="2007"/>
      <c r="AI38" s="2007"/>
      <c r="AJ38" s="2007"/>
      <c r="AK38" s="2007"/>
      <c r="AL38" s="2007"/>
      <c r="AM38" s="2007" t="s">
        <v>293</v>
      </c>
    </row>
    <row r="39" spans="1:44" ht="14.25" customHeight="1">
      <c r="Q39" s="304"/>
      <c r="R39" s="304"/>
      <c r="S39" s="2233" t="s">
        <v>87</v>
      </c>
      <c r="T39" s="2097" t="s">
        <v>1491</v>
      </c>
      <c r="U39" s="219"/>
      <c r="V39" s="2234" t="s">
        <v>1492</v>
      </c>
      <c r="W39" s="2235"/>
      <c r="X39" s="2235"/>
      <c r="Y39" s="2235"/>
      <c r="Z39" s="2235"/>
      <c r="AA39" s="2235"/>
      <c r="AB39" s="2236"/>
      <c r="AC39" s="2237" t="s">
        <v>1493</v>
      </c>
      <c r="AD39" s="2234" t="s">
        <v>1492</v>
      </c>
      <c r="AE39" s="2235"/>
      <c r="AF39" s="2235"/>
      <c r="AG39" s="2235"/>
      <c r="AH39" s="2235"/>
      <c r="AI39" s="2235"/>
      <c r="AJ39" s="2236"/>
      <c r="AK39" s="2237" t="s">
        <v>1494</v>
      </c>
      <c r="AL39" s="2240" t="s">
        <v>1495</v>
      </c>
      <c r="AM39" s="2007"/>
    </row>
    <row r="40" spans="1:44" ht="33.75" customHeight="1">
      <c r="Q40" s="304"/>
      <c r="R40" s="304"/>
      <c r="S40" s="2233"/>
      <c r="T40" s="2097"/>
      <c r="U40" s="924"/>
      <c r="V40" s="2066" t="s">
        <v>1496</v>
      </c>
      <c r="W40" s="2229" t="s">
        <v>1497</v>
      </c>
      <c r="X40" s="1989" t="s">
        <v>1498</v>
      </c>
      <c r="Y40" s="1988"/>
      <c r="Z40" s="1989" t="s">
        <v>1517</v>
      </c>
      <c r="AA40" s="1994"/>
      <c r="AB40" s="1988"/>
      <c r="AC40" s="2238"/>
      <c r="AD40" s="2066" t="s">
        <v>1496</v>
      </c>
      <c r="AE40" s="2229" t="s">
        <v>1497</v>
      </c>
      <c r="AF40" s="1989" t="s">
        <v>1498</v>
      </c>
      <c r="AG40" s="1988"/>
      <c r="AH40" s="1989" t="s">
        <v>1499</v>
      </c>
      <c r="AI40" s="1994"/>
      <c r="AJ40" s="1988"/>
      <c r="AK40" s="2238"/>
      <c r="AL40" s="2241"/>
      <c r="AM40" s="2007"/>
    </row>
    <row r="41" spans="1:44" ht="33.75" customHeight="1">
      <c r="A41" s="1249"/>
      <c r="B41" s="1249" t="s">
        <v>136</v>
      </c>
      <c r="C41" s="1249" t="s">
        <v>137</v>
      </c>
      <c r="D41" s="1249" t="s">
        <v>138</v>
      </c>
      <c r="E41" s="1243" t="s">
        <v>1500</v>
      </c>
      <c r="F41" s="1243" t="s">
        <v>1501</v>
      </c>
      <c r="G41" s="1243" t="s">
        <v>1502</v>
      </c>
      <c r="H41" s="1243" t="s">
        <v>1503</v>
      </c>
      <c r="I41" s="1243" t="s">
        <v>1504</v>
      </c>
      <c r="J41" s="1243" t="s">
        <v>1505</v>
      </c>
      <c r="K41" s="1243" t="s">
        <v>1506</v>
      </c>
      <c r="L41" s="1243" t="s">
        <v>1481</v>
      </c>
      <c r="Q41" s="304"/>
      <c r="R41" s="304"/>
      <c r="S41" s="2233"/>
      <c r="T41" s="2097"/>
      <c r="U41" s="220"/>
      <c r="V41" s="2122"/>
      <c r="W41" s="2230"/>
      <c r="X41" s="1090" t="s">
        <v>1507</v>
      </c>
      <c r="Y41" s="1090" t="s">
        <v>1508</v>
      </c>
      <c r="Z41" s="1221" t="s">
        <v>1509</v>
      </c>
      <c r="AA41" s="2103" t="s">
        <v>1510</v>
      </c>
      <c r="AB41" s="2117"/>
      <c r="AC41" s="2239"/>
      <c r="AD41" s="2122"/>
      <c r="AE41" s="2230"/>
      <c r="AF41" s="1090" t="s">
        <v>1507</v>
      </c>
      <c r="AG41" s="1090" t="s">
        <v>1508</v>
      </c>
      <c r="AH41" s="1221" t="s">
        <v>1509</v>
      </c>
      <c r="AI41" s="2103" t="s">
        <v>1510</v>
      </c>
      <c r="AJ41" s="2117"/>
      <c r="AK41" s="2239"/>
      <c r="AL41" s="2242"/>
      <c r="AM41" s="2007"/>
    </row>
    <row r="42" spans="1:44" s="1708" customFormat="1" ht="11.25" hidden="1" customHeight="1">
      <c r="A42" s="1249"/>
      <c r="B42" s="1249"/>
      <c r="C42" s="1249"/>
      <c r="D42" s="1249"/>
      <c r="E42" s="1249"/>
      <c r="F42" s="1249"/>
      <c r="G42" s="1249"/>
      <c r="H42" s="1249"/>
      <c r="I42" s="1249"/>
      <c r="J42" s="1249"/>
      <c r="K42" s="1249"/>
      <c r="L42" s="1243"/>
      <c r="M42" s="1241"/>
      <c r="N42" s="1241"/>
      <c r="O42" s="1241"/>
      <c r="P42" s="1117"/>
      <c r="Q42" s="1118"/>
      <c r="R42" s="1133">
        <v>1</v>
      </c>
      <c r="S42" s="1158" t="s">
        <v>108</v>
      </c>
      <c r="T42" s="1134" t="s">
        <v>109</v>
      </c>
      <c r="U42" s="1116" t="str">
        <f ca="1">OFFSET(U42,0,-1)</f>
        <v>2</v>
      </c>
      <c r="V42" s="1218">
        <f ca="1">OFFSET(V42,0,-1)+1</f>
        <v>3</v>
      </c>
      <c r="W42" s="1218"/>
      <c r="X42" s="1218">
        <f ca="1">OFFSET(X42,0,-1)+1</f>
        <v>1</v>
      </c>
      <c r="Y42" s="1218">
        <f ca="1">OFFSET(Y42,0,-1)+1</f>
        <v>2</v>
      </c>
      <c r="Z42" s="1218">
        <f ca="1">OFFSET(Z42,0,-1)+1</f>
        <v>3</v>
      </c>
      <c r="AA42" s="2231">
        <f ca="1">OFFSET(AA42,0,-1)+1</f>
        <v>4</v>
      </c>
      <c r="AB42" s="2231"/>
      <c r="AC42" s="1218">
        <f ca="1">OFFSET(AC42,0,-2)+1</f>
        <v>5</v>
      </c>
      <c r="AD42" s="1218">
        <f ca="1">OFFSET(AD42,0,-1)+1</f>
        <v>6</v>
      </c>
      <c r="AE42" s="1218"/>
      <c r="AF42" s="1218">
        <f ca="1">OFFSET(AF42,0,-1)+1</f>
        <v>1</v>
      </c>
      <c r="AG42" s="1218">
        <f ca="1">OFFSET(AG42,0,-1)+1</f>
        <v>2</v>
      </c>
      <c r="AH42" s="1218">
        <f ca="1">OFFSET(AH42,0,-1)+1</f>
        <v>3</v>
      </c>
      <c r="AI42" s="2231">
        <f ca="1">OFFSET(AI42,0,-1)+1</f>
        <v>4</v>
      </c>
      <c r="AJ42" s="2231"/>
      <c r="AK42" s="1218">
        <f ca="1">OFFSET(AK42,0,-2)+1</f>
        <v>5</v>
      </c>
      <c r="AL42" s="1116">
        <f ca="1">OFFSET(AL42,0,-1)</f>
        <v>5</v>
      </c>
      <c r="AM42" s="1218">
        <f ca="1">OFFSET(AM42,0,-1)+1</f>
        <v>6</v>
      </c>
      <c r="AN42" s="439"/>
      <c r="AO42" s="439"/>
      <c r="AP42" s="439"/>
      <c r="AQ42" s="439"/>
      <c r="AR42" s="439"/>
    </row>
    <row r="43" spans="1:44" ht="21" customHeight="1">
      <c r="A43" s="1242" t="s">
        <v>165</v>
      </c>
      <c r="B43" s="1242"/>
      <c r="C43" s="1242"/>
      <c r="D43" s="1242"/>
      <c r="E43" s="2221">
        <v>1</v>
      </c>
      <c r="F43" s="1242"/>
      <c r="G43" s="1242"/>
      <c r="H43" s="1242"/>
      <c r="I43" s="1242"/>
      <c r="J43" s="1242"/>
      <c r="K43" s="1242"/>
      <c r="L43" s="1243"/>
      <c r="M43" s="1244"/>
      <c r="N43" s="1244"/>
      <c r="O43" s="1244"/>
      <c r="P43" s="285"/>
      <c r="Q43" s="284"/>
      <c r="R43" s="279"/>
      <c r="S43" s="1219">
        <f>INDEX(PT_DIFFERENTIATION_NUM_NTAR,MATCH(A43,PT_DIFFERENTIATION_NTAR_ID,0))</f>
        <v>0</v>
      </c>
      <c r="T43" s="216" t="s">
        <v>124</v>
      </c>
      <c r="U43" s="218"/>
      <c r="V43" s="2215"/>
      <c r="W43" s="2216"/>
      <c r="X43" s="2216"/>
      <c r="Y43" s="2216"/>
      <c r="Z43" s="2216"/>
      <c r="AA43" s="2216"/>
      <c r="AB43" s="2216"/>
      <c r="AC43" s="2217"/>
      <c r="AD43" s="2215" t="str">
        <f>INDEX(PT_DIFFERENTIATION_NTAR,MATCH(A43,PT_DIFFERENTIATION_NTAR_ID,0))</f>
        <v/>
      </c>
      <c r="AE43" s="2216"/>
      <c r="AF43" s="2216"/>
      <c r="AG43" s="2216"/>
      <c r="AH43" s="2216"/>
      <c r="AI43" s="2216"/>
      <c r="AJ43" s="2216"/>
      <c r="AK43" s="2216"/>
      <c r="AL43" s="2217"/>
      <c r="AM43" s="1138" t="s">
        <v>1462</v>
      </c>
      <c r="AO43" s="428"/>
      <c r="AP43" s="428" t="str">
        <f t="shared" ref="AP43:AP57" si="1">IF(T43="","",T43)</f>
        <v>Наименование тарифа</v>
      </c>
      <c r="AQ43" s="428"/>
      <c r="AR43" s="428"/>
    </row>
    <row r="44" spans="1:44" ht="21" customHeight="1">
      <c r="A44" s="1242" t="s">
        <v>165</v>
      </c>
      <c r="B44" s="1242" t="s">
        <v>166</v>
      </c>
      <c r="C44" s="1242"/>
      <c r="D44" s="1242"/>
      <c r="E44" s="2222"/>
      <c r="F44" s="2221">
        <v>1</v>
      </c>
      <c r="G44" s="1242"/>
      <c r="H44" s="1242"/>
      <c r="I44" s="1242"/>
      <c r="J44" s="1242"/>
      <c r="K44" s="1242"/>
      <c r="L44" s="1243"/>
      <c r="M44" s="1244"/>
      <c r="N44" s="1244"/>
      <c r="O44" s="1244"/>
      <c r="P44" s="1215"/>
      <c r="Q44" s="276"/>
      <c r="R44" s="277"/>
      <c r="S44" s="1219" t="str">
        <f>INDEX(PT_DIFFERENTIATION_NUM_TER,MATCH(B44,PT_DIFFERENTIATION_TER_ID,0))</f>
        <v>.</v>
      </c>
      <c r="T44" s="228" t="s">
        <v>1463</v>
      </c>
      <c r="U44" s="218"/>
      <c r="V44" s="2215"/>
      <c r="W44" s="2216"/>
      <c r="X44" s="2216"/>
      <c r="Y44" s="2216"/>
      <c r="Z44" s="2216"/>
      <c r="AA44" s="2216"/>
      <c r="AB44" s="2216"/>
      <c r="AC44" s="2217"/>
      <c r="AD44" s="2215" t="str">
        <f>INDEX(PT_DIFFERENTIATION_TER,MATCH(B44,PT_DIFFERENTIATION_TER_ID,0))</f>
        <v/>
      </c>
      <c r="AE44" s="2216"/>
      <c r="AF44" s="2216"/>
      <c r="AG44" s="2216"/>
      <c r="AH44" s="2216"/>
      <c r="AI44" s="2216"/>
      <c r="AJ44" s="2216"/>
      <c r="AK44" s="2216"/>
      <c r="AL44" s="2217"/>
      <c r="AM44" s="1138" t="s">
        <v>1464</v>
      </c>
      <c r="AO44" s="428"/>
      <c r="AP44" s="428" t="str">
        <f t="shared" si="1"/>
        <v>Территория действия тарифа</v>
      </c>
      <c r="AQ44" s="428"/>
      <c r="AR44" s="428"/>
    </row>
    <row r="45" spans="1:44" ht="23.25" customHeight="1">
      <c r="A45" s="1242" t="s">
        <v>165</v>
      </c>
      <c r="B45" s="1242" t="s">
        <v>166</v>
      </c>
      <c r="C45" s="1242" t="s">
        <v>167</v>
      </c>
      <c r="D45" s="1242"/>
      <c r="E45" s="2222"/>
      <c r="F45" s="2222"/>
      <c r="G45" s="2221">
        <v>1</v>
      </c>
      <c r="H45" s="1242"/>
      <c r="I45" s="1242"/>
      <c r="J45" s="1242"/>
      <c r="K45" s="1242"/>
      <c r="L45" s="1243"/>
      <c r="M45" s="1244"/>
      <c r="N45" s="1244"/>
      <c r="O45" s="1244"/>
      <c r="P45" s="278"/>
      <c r="Q45" s="276"/>
      <c r="R45" s="277"/>
      <c r="S45" s="1219" t="str">
        <f>INDEX(PT_DIFFERENTIATION_NUM_CS,MATCH(C45,PT_DIFFERENTIATION_CS_ID,0))</f>
        <v>..</v>
      </c>
      <c r="T45" s="229" t="s">
        <v>1465</v>
      </c>
      <c r="U45" s="218"/>
      <c r="V45" s="2215"/>
      <c r="W45" s="2216"/>
      <c r="X45" s="2216"/>
      <c r="Y45" s="2216"/>
      <c r="Z45" s="2216"/>
      <c r="AA45" s="2216"/>
      <c r="AB45" s="2216"/>
      <c r="AC45" s="2217"/>
      <c r="AD45" s="2215" t="str">
        <f>INDEX(PT_DIFFERENTIATION_CS,MATCH(C45,PT_DIFFERENTIATION_CS_ID,0))</f>
        <v/>
      </c>
      <c r="AE45" s="2216"/>
      <c r="AF45" s="2216"/>
      <c r="AG45" s="2216"/>
      <c r="AH45" s="2216"/>
      <c r="AI45" s="2216"/>
      <c r="AJ45" s="2216"/>
      <c r="AK45" s="2216"/>
      <c r="AL45" s="2217"/>
      <c r="AM45" s="1138" t="s">
        <v>1466</v>
      </c>
      <c r="AO45" s="428"/>
      <c r="AP45" s="428" t="str">
        <f t="shared" si="1"/>
        <v xml:space="preserve">Наименование системы теплоснабжения </v>
      </c>
      <c r="AQ45" s="428"/>
      <c r="AR45" s="428"/>
    </row>
    <row r="46" spans="1:44" ht="21" customHeight="1">
      <c r="A46" s="1242" t="s">
        <v>165</v>
      </c>
      <c r="B46" s="1242" t="s">
        <v>166</v>
      </c>
      <c r="C46" s="1242" t="s">
        <v>167</v>
      </c>
      <c r="D46" s="1242" t="s">
        <v>168</v>
      </c>
      <c r="E46" s="2222"/>
      <c r="F46" s="2222"/>
      <c r="G46" s="2222"/>
      <c r="H46" s="2221">
        <v>1</v>
      </c>
      <c r="I46" s="1242"/>
      <c r="J46" s="1242"/>
      <c r="K46" s="1242"/>
      <c r="L46" s="1243"/>
      <c r="M46" s="1244"/>
      <c r="N46" s="1244"/>
      <c r="O46" s="1244"/>
      <c r="P46" s="278"/>
      <c r="Q46" s="276"/>
      <c r="R46" s="277"/>
      <c r="S46" s="1219" t="str">
        <f>INDEX(PT_DIFFERENTIATION_NUM_IST_TE,MATCH(D46,PT_DIFFERENTIATION_IST_TE_ID,0))</f>
        <v>...</v>
      </c>
      <c r="T46" s="230" t="s">
        <v>1467</v>
      </c>
      <c r="U46" s="218"/>
      <c r="V46" s="2215"/>
      <c r="W46" s="2216"/>
      <c r="X46" s="2216"/>
      <c r="Y46" s="2216"/>
      <c r="Z46" s="2216"/>
      <c r="AA46" s="2216"/>
      <c r="AB46" s="2216"/>
      <c r="AC46" s="2217"/>
      <c r="AD46" s="2215" t="str">
        <f>INDEX(PT_DIFFERENTIATION_IST_TE,MATCH(D46,PT_DIFFERENTIATION_IST_TE_ID,0))</f>
        <v/>
      </c>
      <c r="AE46" s="2216"/>
      <c r="AF46" s="2216"/>
      <c r="AG46" s="2216"/>
      <c r="AH46" s="2216"/>
      <c r="AI46" s="2216"/>
      <c r="AJ46" s="2216"/>
      <c r="AK46" s="2216"/>
      <c r="AL46" s="2217"/>
      <c r="AM46" s="1138" t="s">
        <v>1468</v>
      </c>
      <c r="AO46" s="428"/>
      <c r="AP46" s="428" t="str">
        <f t="shared" si="1"/>
        <v xml:space="preserve">Источник тепловой энергии  </v>
      </c>
      <c r="AQ46" s="428"/>
      <c r="AR46" s="428"/>
    </row>
    <row r="47" spans="1:44" ht="47.25" customHeight="1">
      <c r="A47" s="1242" t="s">
        <v>165</v>
      </c>
      <c r="B47" s="1242" t="s">
        <v>166</v>
      </c>
      <c r="C47" s="1242" t="s">
        <v>167</v>
      </c>
      <c r="D47" s="1242" t="s">
        <v>168</v>
      </c>
      <c r="E47" s="2222"/>
      <c r="F47" s="2222"/>
      <c r="G47" s="2222"/>
      <c r="H47" s="2222"/>
      <c r="I47" s="2223" t="str">
        <f>S46&amp;".1"</f>
        <v>....1</v>
      </c>
      <c r="J47" s="1242"/>
      <c r="K47" s="1242"/>
      <c r="L47" s="1243" t="s">
        <v>1469</v>
      </c>
      <c r="P47" s="2143">
        <v>1</v>
      </c>
      <c r="Q47" s="1214"/>
      <c r="R47" s="280"/>
      <c r="S47" s="1219" t="str">
        <f>$I47</f>
        <v>....1</v>
      </c>
      <c r="T47" s="203" t="s">
        <v>1470</v>
      </c>
      <c r="U47" s="218"/>
      <c r="V47" s="2210"/>
      <c r="W47" s="2211"/>
      <c r="X47" s="2211"/>
      <c r="Y47" s="2211"/>
      <c r="Z47" s="2211"/>
      <c r="AA47" s="2211"/>
      <c r="AB47" s="2211"/>
      <c r="AC47" s="2212"/>
      <c r="AD47" s="2210"/>
      <c r="AE47" s="2211"/>
      <c r="AF47" s="2211"/>
      <c r="AG47" s="2211"/>
      <c r="AH47" s="2211"/>
      <c r="AI47" s="2211"/>
      <c r="AJ47" s="2211"/>
      <c r="AK47" s="2211"/>
      <c r="AL47" s="2212"/>
      <c r="AM47" s="1138" t="s">
        <v>1471</v>
      </c>
      <c r="AO47" s="428"/>
      <c r="AP47" s="428" t="str">
        <f t="shared" si="1"/>
        <v>Схема подключения теплопотребляющей установки к коллектору источника тепловой энергии</v>
      </c>
      <c r="AQ47" s="428"/>
      <c r="AR47" s="428"/>
    </row>
    <row r="48" spans="1:44" ht="21" customHeight="1">
      <c r="A48" s="1242" t="s">
        <v>165</v>
      </c>
      <c r="B48" s="1242" t="s">
        <v>166</v>
      </c>
      <c r="C48" s="1242" t="s">
        <v>167</v>
      </c>
      <c r="D48" s="1242" t="s">
        <v>168</v>
      </c>
      <c r="E48" s="2222"/>
      <c r="F48" s="2222"/>
      <c r="G48" s="2222"/>
      <c r="H48" s="2222"/>
      <c r="I48" s="2224"/>
      <c r="J48" s="2223" t="str">
        <f>I47&amp;".1"</f>
        <v>....1.1</v>
      </c>
      <c r="K48" s="1242"/>
      <c r="L48" s="1243" t="s">
        <v>1472</v>
      </c>
      <c r="P48" s="2143"/>
      <c r="Q48" s="2143">
        <v>1</v>
      </c>
      <c r="R48" s="281"/>
      <c r="S48" s="1219" t="str">
        <f>$J48</f>
        <v>....1.1</v>
      </c>
      <c r="T48" s="204" t="s">
        <v>1473</v>
      </c>
      <c r="U48" s="218"/>
      <c r="V48" s="2210"/>
      <c r="W48" s="2211"/>
      <c r="X48" s="2211"/>
      <c r="Y48" s="2211"/>
      <c r="Z48" s="2211"/>
      <c r="AA48" s="2211"/>
      <c r="AB48" s="2211"/>
      <c r="AC48" s="2212"/>
      <c r="AD48" s="2210"/>
      <c r="AE48" s="2211"/>
      <c r="AF48" s="2211"/>
      <c r="AG48" s="2211"/>
      <c r="AH48" s="2211"/>
      <c r="AI48" s="2211"/>
      <c r="AJ48" s="2211"/>
      <c r="AK48" s="2211"/>
      <c r="AL48" s="2212"/>
      <c r="AM48" s="1138" t="s">
        <v>1474</v>
      </c>
      <c r="AO48" s="428"/>
      <c r="AP48" s="428" t="str">
        <f t="shared" si="1"/>
        <v>Группа потребителей</v>
      </c>
      <c r="AQ48" s="428"/>
      <c r="AR48" s="428"/>
    </row>
    <row r="49" spans="1:44" ht="21" customHeight="1">
      <c r="A49" s="1242" t="s">
        <v>165</v>
      </c>
      <c r="B49" s="1242" t="s">
        <v>166</v>
      </c>
      <c r="C49" s="1242" t="s">
        <v>167</v>
      </c>
      <c r="D49" s="1242" t="s">
        <v>168</v>
      </c>
      <c r="E49" s="2222"/>
      <c r="F49" s="2222"/>
      <c r="G49" s="2222"/>
      <c r="H49" s="2222"/>
      <c r="I49" s="2224"/>
      <c r="J49" s="2224"/>
      <c r="K49" s="2223" t="str">
        <f>J48&amp;".1"</f>
        <v>....1.1.1</v>
      </c>
      <c r="L49" s="1243" t="s">
        <v>1475</v>
      </c>
      <c r="P49" s="2143"/>
      <c r="Q49" s="2143"/>
      <c r="R49" s="281">
        <v>1</v>
      </c>
      <c r="S49" s="1219" t="str">
        <f>$K49</f>
        <v>....1.1.1</v>
      </c>
      <c r="T49" s="1230"/>
      <c r="U49" s="218"/>
      <c r="V49" s="1664"/>
      <c r="W49" s="1665"/>
      <c r="X49" s="1664"/>
      <c r="Y49" s="1666"/>
      <c r="Z49" s="2225"/>
      <c r="AA49" s="2017" t="s">
        <v>62</v>
      </c>
      <c r="AB49" s="2225"/>
      <c r="AC49" s="2017" t="s">
        <v>62</v>
      </c>
      <c r="AD49" s="1664"/>
      <c r="AE49" s="1665"/>
      <c r="AF49" s="1664"/>
      <c r="AG49" s="1666"/>
      <c r="AH49" s="2225"/>
      <c r="AI49" s="2017" t="s">
        <v>62</v>
      </c>
      <c r="AJ49" s="2227"/>
      <c r="AK49" s="2017" t="s">
        <v>62</v>
      </c>
      <c r="AL49" s="1672"/>
      <c r="AM49" s="2243" t="s">
        <v>1476</v>
      </c>
      <c r="AN49" s="439" t="e">
        <f ca="1">STRCHECKDATE(V50:AL50)</f>
        <v>#NAME?</v>
      </c>
      <c r="AO49" s="428"/>
      <c r="AP49" s="428" t="str">
        <f t="shared" si="1"/>
        <v/>
      </c>
      <c r="AQ49" s="428"/>
      <c r="AR49" s="428"/>
    </row>
    <row r="50" spans="1:44" ht="0.75" customHeight="1">
      <c r="A50" s="1242" t="s">
        <v>165</v>
      </c>
      <c r="B50" s="1242" t="s">
        <v>166</v>
      </c>
      <c r="C50" s="1242" t="s">
        <v>167</v>
      </c>
      <c r="D50" s="1242" t="s">
        <v>168</v>
      </c>
      <c r="E50" s="2222"/>
      <c r="F50" s="2222"/>
      <c r="G50" s="2222"/>
      <c r="H50" s="2222"/>
      <c r="I50" s="2224"/>
      <c r="J50" s="2224"/>
      <c r="K50" s="2223"/>
      <c r="L50" s="1243"/>
      <c r="P50" s="2143"/>
      <c r="Q50" s="2143"/>
      <c r="R50" s="281"/>
      <c r="S50" s="1225"/>
      <c r="T50" s="218"/>
      <c r="U50" s="218"/>
      <c r="V50" s="1665"/>
      <c r="W50" s="1665"/>
      <c r="X50" s="1665"/>
      <c r="Y50" s="1667" t="str">
        <f>Z49&amp;"-"&amp;AB49</f>
        <v>-</v>
      </c>
      <c r="Z50" s="2226"/>
      <c r="AA50" s="2017"/>
      <c r="AB50" s="2226"/>
      <c r="AC50" s="2017"/>
      <c r="AD50" s="1665"/>
      <c r="AE50" s="1665"/>
      <c r="AF50" s="1665"/>
      <c r="AG50" s="1667" t="str">
        <f>AH49&amp;"-"&amp;AJ49</f>
        <v>-</v>
      </c>
      <c r="AH50" s="2226"/>
      <c r="AI50" s="2017"/>
      <c r="AJ50" s="2228"/>
      <c r="AK50" s="2017"/>
      <c r="AL50" s="1673"/>
      <c r="AM50" s="2244"/>
      <c r="AO50" s="428"/>
      <c r="AP50" s="428" t="str">
        <f t="shared" si="1"/>
        <v/>
      </c>
      <c r="AQ50" s="428"/>
      <c r="AR50" s="428"/>
    </row>
    <row r="51" spans="1:44" ht="11.25" customHeight="1">
      <c r="A51" s="1242" t="s">
        <v>165</v>
      </c>
      <c r="B51" s="1242" t="s">
        <v>166</v>
      </c>
      <c r="C51" s="1242" t="s">
        <v>167</v>
      </c>
      <c r="D51" s="1242" t="s">
        <v>168</v>
      </c>
      <c r="E51" s="2222"/>
      <c r="F51" s="2222"/>
      <c r="G51" s="2222"/>
      <c r="H51" s="2222"/>
      <c r="I51" s="2224"/>
      <c r="J51" s="2223"/>
      <c r="K51" s="1242"/>
      <c r="L51" s="1243"/>
      <c r="P51" s="2143"/>
      <c r="Q51" s="2143"/>
      <c r="R51" s="280"/>
      <c r="S51" s="1159"/>
      <c r="T51" s="206" t="s">
        <v>1477</v>
      </c>
      <c r="U51" s="294"/>
      <c r="V51" s="294"/>
      <c r="W51" s="294"/>
      <c r="X51" s="294"/>
      <c r="Y51" s="294"/>
      <c r="Z51" s="294"/>
      <c r="AA51" s="294"/>
      <c r="AB51" s="294"/>
      <c r="AC51" s="294"/>
      <c r="AD51" s="294"/>
      <c r="AE51" s="294"/>
      <c r="AF51" s="294"/>
      <c r="AG51" s="294"/>
      <c r="AH51" s="294"/>
      <c r="AI51" s="294"/>
      <c r="AJ51" s="294"/>
      <c r="AK51" s="294"/>
      <c r="AL51" s="251"/>
      <c r="AM51" s="2245"/>
      <c r="AO51" s="428"/>
      <c r="AP51" s="428" t="str">
        <f t="shared" si="1"/>
        <v>Добавить вид теплоносителя (параметры теплоносителя)</v>
      </c>
      <c r="AQ51" s="428"/>
      <c r="AR51" s="428"/>
    </row>
    <row r="52" spans="1:44" ht="11.25" customHeight="1">
      <c r="A52" s="1242" t="s">
        <v>165</v>
      </c>
      <c r="B52" s="1242" t="s">
        <v>166</v>
      </c>
      <c r="C52" s="1242" t="s">
        <v>167</v>
      </c>
      <c r="D52" s="1242" t="s">
        <v>168</v>
      </c>
      <c r="E52" s="2222"/>
      <c r="F52" s="2222"/>
      <c r="G52" s="2222"/>
      <c r="H52" s="2222"/>
      <c r="I52" s="2223"/>
      <c r="J52" s="1242"/>
      <c r="K52" s="1242"/>
      <c r="L52" s="1243"/>
      <c r="P52" s="2143"/>
      <c r="Q52" s="1214"/>
      <c r="R52" s="280"/>
      <c r="S52" s="1159"/>
      <c r="T52" s="205" t="s">
        <v>1478</v>
      </c>
      <c r="U52" s="294"/>
      <c r="V52" s="294"/>
      <c r="W52" s="294"/>
      <c r="X52" s="294"/>
      <c r="Y52" s="294"/>
      <c r="Z52" s="294"/>
      <c r="AA52" s="294"/>
      <c r="AB52" s="294"/>
      <c r="AC52" s="293"/>
      <c r="AD52" s="294"/>
      <c r="AE52" s="294"/>
      <c r="AF52" s="294"/>
      <c r="AG52" s="294"/>
      <c r="AH52" s="294"/>
      <c r="AI52" s="294"/>
      <c r="AJ52" s="294"/>
      <c r="AK52" s="293"/>
      <c r="AL52" s="294"/>
      <c r="AM52" s="221"/>
      <c r="AO52" s="428"/>
      <c r="AP52" s="428" t="str">
        <f t="shared" si="1"/>
        <v>Добавить группу потребителей</v>
      </c>
      <c r="AQ52" s="428"/>
      <c r="AR52" s="428"/>
    </row>
    <row r="53" spans="1:44" ht="14.25" customHeight="1">
      <c r="A53" s="1242" t="s">
        <v>165</v>
      </c>
      <c r="B53" s="1242" t="s">
        <v>166</v>
      </c>
      <c r="C53" s="1242" t="s">
        <v>167</v>
      </c>
      <c r="D53" s="1242" t="s">
        <v>168</v>
      </c>
      <c r="E53" s="2222"/>
      <c r="F53" s="2222"/>
      <c r="G53" s="2222"/>
      <c r="H53" s="2221"/>
      <c r="I53" s="1242"/>
      <c r="J53" s="1242"/>
      <c r="K53" s="1242"/>
      <c r="L53" s="1243"/>
      <c r="M53" s="1244"/>
      <c r="N53" s="1244"/>
      <c r="O53" s="464"/>
      <c r="P53" s="284"/>
      <c r="Q53" s="303"/>
      <c r="R53" s="279"/>
      <c r="S53" s="1159"/>
      <c r="T53" s="291" t="s">
        <v>1479</v>
      </c>
      <c r="U53" s="294"/>
      <c r="V53" s="294"/>
      <c r="W53" s="294"/>
      <c r="X53" s="294"/>
      <c r="Y53" s="294"/>
      <c r="Z53" s="294"/>
      <c r="AA53" s="294"/>
      <c r="AB53" s="294"/>
      <c r="AC53" s="293"/>
      <c r="AD53" s="294"/>
      <c r="AE53" s="294"/>
      <c r="AF53" s="294"/>
      <c r="AG53" s="294"/>
      <c r="AH53" s="294"/>
      <c r="AI53" s="294"/>
      <c r="AJ53" s="294"/>
      <c r="AK53" s="293"/>
      <c r="AL53" s="294"/>
      <c r="AM53" s="221"/>
      <c r="AO53" s="428"/>
      <c r="AP53" s="428" t="str">
        <f t="shared" si="1"/>
        <v>Добавить схему подключения</v>
      </c>
      <c r="AQ53" s="428"/>
      <c r="AR53" s="428"/>
    </row>
    <row r="54" spans="1:44" s="1755" customFormat="1" ht="0.75" customHeight="1">
      <c r="A54" s="1226" t="s">
        <v>165</v>
      </c>
      <c r="B54" s="1226" t="s">
        <v>166</v>
      </c>
      <c r="C54" s="1226" t="s">
        <v>167</v>
      </c>
      <c r="D54" s="1198"/>
      <c r="E54" s="2222"/>
      <c r="F54" s="2222"/>
      <c r="G54" s="2221"/>
      <c r="H54" s="1198"/>
      <c r="I54" s="1198"/>
      <c r="J54" s="1198"/>
      <c r="K54" s="1198"/>
      <c r="L54" s="1222"/>
      <c r="M54" s="1199"/>
      <c r="N54" s="1199"/>
      <c r="P54" s="1200"/>
      <c r="Q54" s="1201"/>
      <c r="R54" s="1200"/>
      <c r="S54" s="1206"/>
      <c r="T54" s="1209" t="s">
        <v>1438</v>
      </c>
      <c r="U54" s="1208"/>
      <c r="V54" s="1208"/>
      <c r="W54" s="1208"/>
      <c r="X54" s="1208"/>
      <c r="Y54" s="1208"/>
      <c r="Z54" s="1208"/>
      <c r="AA54" s="1208"/>
      <c r="AB54" s="1208"/>
      <c r="AC54" s="1208"/>
      <c r="AD54" s="1208"/>
      <c r="AE54" s="1208"/>
      <c r="AF54" s="1208"/>
      <c r="AG54" s="1208"/>
      <c r="AH54" s="1208"/>
      <c r="AI54" s="1208"/>
      <c r="AJ54" s="1208"/>
      <c r="AK54" s="1208"/>
      <c r="AL54" s="1208"/>
      <c r="AM54" s="1208"/>
      <c r="AO54" s="695"/>
      <c r="AP54" s="695" t="str">
        <f t="shared" si="1"/>
        <v>Добавить источник для дифференциации</v>
      </c>
      <c r="AQ54" s="695"/>
      <c r="AR54" s="695"/>
    </row>
    <row r="55" spans="1:44" s="1755" customFormat="1" ht="0.75" customHeight="1">
      <c r="A55" s="1226" t="s">
        <v>165</v>
      </c>
      <c r="B55" s="1226" t="s">
        <v>166</v>
      </c>
      <c r="C55" s="1198"/>
      <c r="D55" s="1198"/>
      <c r="E55" s="2222"/>
      <c r="F55" s="2221"/>
      <c r="G55" s="1198"/>
      <c r="H55" s="1198"/>
      <c r="I55" s="1198"/>
      <c r="J55" s="1198"/>
      <c r="K55" s="1198"/>
      <c r="L55" s="1222"/>
      <c r="M55" s="1205"/>
      <c r="N55" s="1205"/>
      <c r="P55" s="1200"/>
      <c r="Q55" s="1201"/>
      <c r="R55" s="1200"/>
      <c r="S55" s="1206"/>
      <c r="T55" s="1209" t="s">
        <v>1439</v>
      </c>
      <c r="U55" s="1208"/>
      <c r="V55" s="1208"/>
      <c r="W55" s="1208"/>
      <c r="X55" s="1208"/>
      <c r="Y55" s="1208"/>
      <c r="Z55" s="1208"/>
      <c r="AA55" s="1208"/>
      <c r="AB55" s="1208"/>
      <c r="AC55" s="1208"/>
      <c r="AD55" s="1208"/>
      <c r="AE55" s="1208"/>
      <c r="AF55" s="1208"/>
      <c r="AG55" s="1208"/>
      <c r="AH55" s="1208"/>
      <c r="AI55" s="1208"/>
      <c r="AJ55" s="1208"/>
      <c r="AK55" s="1208"/>
      <c r="AL55" s="1208"/>
      <c r="AM55" s="1208"/>
      <c r="AO55" s="695"/>
      <c r="AP55" s="695" t="str">
        <f t="shared" si="1"/>
        <v>Добавить централизованную систему для дифференциации</v>
      </c>
      <c r="AQ55" s="695"/>
      <c r="AR55" s="695"/>
    </row>
    <row r="56" spans="1:44" s="1755" customFormat="1" ht="0.75" customHeight="1">
      <c r="A56" s="1226" t="s">
        <v>165</v>
      </c>
      <c r="B56" s="1226"/>
      <c r="C56" s="1226"/>
      <c r="D56" s="1226"/>
      <c r="E56" s="2221"/>
      <c r="F56" s="1226"/>
      <c r="G56" s="1226"/>
      <c r="H56" s="1226"/>
      <c r="I56" s="1226"/>
      <c r="J56" s="1226"/>
      <c r="K56" s="1226"/>
      <c r="L56" s="1229"/>
      <c r="M56" s="1205"/>
      <c r="N56" s="1205"/>
      <c r="O56" s="446"/>
      <c r="P56" s="311"/>
      <c r="Q56" s="1227"/>
      <c r="R56" s="311"/>
      <c r="S56" s="1206"/>
      <c r="T56" s="1209" t="s">
        <v>1440</v>
      </c>
      <c r="U56" s="1208"/>
      <c r="V56" s="1208"/>
      <c r="W56" s="1208"/>
      <c r="X56" s="1208"/>
      <c r="Y56" s="1208"/>
      <c r="Z56" s="1208"/>
      <c r="AA56" s="1208"/>
      <c r="AB56" s="1208"/>
      <c r="AC56" s="1208"/>
      <c r="AD56" s="1208"/>
      <c r="AE56" s="1208"/>
      <c r="AF56" s="1208"/>
      <c r="AG56" s="1208"/>
      <c r="AH56" s="1208"/>
      <c r="AI56" s="1208"/>
      <c r="AJ56" s="1208"/>
      <c r="AK56" s="1208"/>
      <c r="AL56" s="1208"/>
      <c r="AM56" s="1208"/>
      <c r="AO56" s="428"/>
      <c r="AP56" s="428" t="str">
        <f t="shared" si="1"/>
        <v>Добавить территорию для дифференциации</v>
      </c>
      <c r="AQ56" s="428"/>
      <c r="AR56" s="428"/>
    </row>
    <row r="57" spans="1:44" s="1755" customFormat="1" ht="0.75" customHeight="1">
      <c r="A57" s="1198"/>
      <c r="B57" s="1198"/>
      <c r="C57" s="1198"/>
      <c r="D57" s="1198"/>
      <c r="E57" s="1226"/>
      <c r="F57" s="1198"/>
      <c r="G57" s="1198"/>
      <c r="H57" s="1198"/>
      <c r="I57" s="1198"/>
      <c r="J57" s="1198"/>
      <c r="K57" s="1198"/>
      <c r="L57" s="1222"/>
      <c r="M57" s="1205"/>
      <c r="N57" s="1205"/>
      <c r="P57" s="1200"/>
      <c r="Q57" s="1201"/>
      <c r="R57" s="1200"/>
      <c r="S57" s="1206"/>
      <c r="T57" s="1209" t="s">
        <v>1441</v>
      </c>
      <c r="U57" s="1208"/>
      <c r="V57" s="1208"/>
      <c r="W57" s="1208"/>
      <c r="X57" s="1208"/>
      <c r="Y57" s="1208"/>
      <c r="Z57" s="1208"/>
      <c r="AA57" s="1208"/>
      <c r="AB57" s="1208"/>
      <c r="AC57" s="1208"/>
      <c r="AD57" s="1208"/>
      <c r="AE57" s="1208"/>
      <c r="AF57" s="1208"/>
      <c r="AG57" s="1208"/>
      <c r="AH57" s="1208"/>
      <c r="AI57" s="1208"/>
      <c r="AJ57" s="1208"/>
      <c r="AK57" s="1208"/>
      <c r="AL57" s="1208"/>
      <c r="AM57" s="1208"/>
      <c r="AO57" s="695"/>
      <c r="AP57" s="695" t="str">
        <f t="shared" si="1"/>
        <v>Добавить наименование тарифа</v>
      </c>
      <c r="AQ57" s="695"/>
      <c r="AR57" s="695"/>
    </row>
    <row r="58" spans="1:44" ht="11.25" hidden="1" customHeight="1">
      <c r="M58" s="1034"/>
      <c r="N58" s="1034"/>
      <c r="O58" s="464"/>
      <c r="P58" s="1029"/>
      <c r="Q58" s="1029"/>
      <c r="R58" s="1029"/>
      <c r="S58" s="1029"/>
      <c r="AN58" s="1029"/>
      <c r="AO58" s="1029"/>
      <c r="AP58" s="1029"/>
      <c r="AQ58" s="1029"/>
      <c r="AR58" s="1029"/>
    </row>
    <row r="59" spans="1:44" ht="27" hidden="1" customHeight="1">
      <c r="O59" s="464"/>
      <c r="S59" s="1126" t="s">
        <v>1511</v>
      </c>
      <c r="T59" s="2220" t="s">
        <v>1518</v>
      </c>
      <c r="U59" s="2220"/>
      <c r="V59" s="2220"/>
      <c r="W59" s="2220"/>
      <c r="X59" s="2220"/>
      <c r="Y59" s="2220"/>
      <c r="Z59" s="2220"/>
      <c r="AA59" s="2220"/>
      <c r="AB59" s="2220"/>
      <c r="AC59" s="2220"/>
      <c r="AD59" s="2220"/>
      <c r="AE59" s="2220"/>
      <c r="AF59" s="2220"/>
      <c r="AG59" s="2220"/>
      <c r="AH59" s="2220"/>
      <c r="AI59" s="2220"/>
      <c r="AJ59" s="2220"/>
      <c r="AK59" s="2220"/>
      <c r="AL59" s="2220"/>
      <c r="AM59" s="2220"/>
    </row>
    <row r="60" spans="1:44" ht="62.25" hidden="1" customHeight="1">
      <c r="O60" s="464"/>
      <c r="T60" s="2220" t="s">
        <v>1513</v>
      </c>
      <c r="U60" s="2220"/>
      <c r="V60" s="2220"/>
      <c r="W60" s="2220"/>
      <c r="X60" s="2220"/>
      <c r="Y60" s="2220"/>
      <c r="Z60" s="2220"/>
      <c r="AA60" s="2220"/>
      <c r="AB60" s="2220"/>
      <c r="AC60" s="2220"/>
      <c r="AD60" s="2220"/>
      <c r="AE60" s="2220"/>
      <c r="AF60" s="2220"/>
      <c r="AG60" s="2220"/>
      <c r="AH60" s="2220"/>
      <c r="AI60" s="2220"/>
      <c r="AJ60" s="2220"/>
      <c r="AK60" s="2220"/>
      <c r="AL60" s="2220"/>
      <c r="AM60" s="2220"/>
    </row>
    <row r="61" spans="1:44" ht="14.25" hidden="1" customHeight="1">
      <c r="O61" s="464"/>
    </row>
    <row r="62" spans="1:44" ht="18" hidden="1" customHeight="1">
      <c r="O62" s="464"/>
      <c r="S62" s="1126" t="s">
        <v>1511</v>
      </c>
      <c r="T62" s="2220" t="s">
        <v>1514</v>
      </c>
      <c r="U62" s="2220"/>
      <c r="V62" s="2220"/>
      <c r="W62" s="2220"/>
      <c r="X62" s="2220"/>
      <c r="Y62" s="2220"/>
      <c r="Z62" s="2220"/>
      <c r="AA62" s="2220"/>
      <c r="AB62" s="2220"/>
      <c r="AC62" s="2220"/>
      <c r="AD62" s="2220"/>
      <c r="AE62" s="2220"/>
      <c r="AF62" s="2220"/>
      <c r="AG62" s="2220"/>
      <c r="AH62" s="2220"/>
      <c r="AI62" s="2220"/>
      <c r="AJ62" s="2220"/>
      <c r="AK62" s="2220"/>
      <c r="AL62" s="2220"/>
      <c r="AM62" s="2220"/>
    </row>
    <row r="63" spans="1:44" ht="18" hidden="1" customHeight="1">
      <c r="O63" s="464"/>
      <c r="T63" s="2220" t="s">
        <v>1515</v>
      </c>
      <c r="U63" s="2220"/>
      <c r="V63" s="2220"/>
      <c r="W63" s="2220"/>
      <c r="X63" s="2220"/>
      <c r="Y63" s="2220"/>
      <c r="Z63" s="2220"/>
      <c r="AA63" s="2220"/>
      <c r="AB63" s="2220"/>
      <c r="AC63" s="2220"/>
      <c r="AD63" s="2220"/>
      <c r="AE63" s="2220"/>
      <c r="AF63" s="2220"/>
      <c r="AG63" s="2220"/>
      <c r="AH63" s="2220"/>
      <c r="AI63" s="2220"/>
      <c r="AJ63" s="2220"/>
      <c r="AK63" s="2220"/>
      <c r="AL63" s="2220"/>
      <c r="AM63" s="2220"/>
    </row>
    <row r="64" spans="1:44" ht="27.75" hidden="1" customHeight="1">
      <c r="O64" s="464"/>
      <c r="S64" s="1126"/>
      <c r="T64" s="2220" t="s">
        <v>1516</v>
      </c>
      <c r="U64" s="2220"/>
      <c r="V64" s="2220"/>
      <c r="W64" s="2220"/>
      <c r="X64" s="2220"/>
      <c r="Y64" s="2220"/>
      <c r="Z64" s="2220"/>
      <c r="AA64" s="2220"/>
      <c r="AB64" s="2220"/>
      <c r="AC64" s="2220"/>
      <c r="AD64" s="2220"/>
      <c r="AE64" s="2220"/>
      <c r="AF64" s="2220"/>
      <c r="AG64" s="2220"/>
      <c r="AH64" s="2220"/>
      <c r="AI64" s="2220"/>
      <c r="AJ64" s="2220"/>
      <c r="AK64" s="2220"/>
      <c r="AL64" s="2220"/>
      <c r="AM64" s="2220"/>
    </row>
  </sheetData>
  <sheetProtection formatColumns="0" formatRows="0" insertRows="0" deleteColumns="0" deleteRows="0" sort="0" autoFilter="0"/>
  <mergeCells count="112">
    <mergeCell ref="S26:AJ26"/>
    <mergeCell ref="S27:AJ27"/>
    <mergeCell ref="S29:T29"/>
    <mergeCell ref="AD29:AJ29"/>
    <mergeCell ref="S30:T30"/>
    <mergeCell ref="V30:AB30"/>
    <mergeCell ref="AD30:AJ30"/>
    <mergeCell ref="S31:T31"/>
    <mergeCell ref="E2:E15"/>
    <mergeCell ref="F3:F14"/>
    <mergeCell ref="G4:G13"/>
    <mergeCell ref="H5:H12"/>
    <mergeCell ref="I6:I11"/>
    <mergeCell ref="P6:P11"/>
    <mergeCell ref="J7:J10"/>
    <mergeCell ref="Q7:Q10"/>
    <mergeCell ref="K8:K9"/>
    <mergeCell ref="Z8:Z9"/>
    <mergeCell ref="AA8:AA9"/>
    <mergeCell ref="AB8:AB9"/>
    <mergeCell ref="AC8:AC9"/>
    <mergeCell ref="V29:AB29"/>
    <mergeCell ref="V31:AB31"/>
    <mergeCell ref="AD31:AJ31"/>
    <mergeCell ref="V7:AC7"/>
    <mergeCell ref="AD7:AL7"/>
    <mergeCell ref="V2:AC2"/>
    <mergeCell ref="AD2:AL2"/>
    <mergeCell ref="V3:AC3"/>
    <mergeCell ref="AD3:AL3"/>
    <mergeCell ref="V4:AC4"/>
    <mergeCell ref="AD4:AL4"/>
    <mergeCell ref="V5:AC5"/>
    <mergeCell ref="AD5:AL5"/>
    <mergeCell ref="V6:AC6"/>
    <mergeCell ref="AD6:AL6"/>
    <mergeCell ref="AM8:AM10"/>
    <mergeCell ref="AH17:AH18"/>
    <mergeCell ref="AI17:AI18"/>
    <mergeCell ref="AJ17:AJ18"/>
    <mergeCell ref="AK17:AK18"/>
    <mergeCell ref="AH8:AH9"/>
    <mergeCell ref="AI8:AI9"/>
    <mergeCell ref="AJ8:AJ9"/>
    <mergeCell ref="AK8:AK9"/>
    <mergeCell ref="S32:T32"/>
    <mergeCell ref="V32:AB32"/>
    <mergeCell ref="AD32:AJ32"/>
    <mergeCell ref="V37:AC37"/>
    <mergeCell ref="AD37:AK37"/>
    <mergeCell ref="S34:T34"/>
    <mergeCell ref="V34:AB34"/>
    <mergeCell ref="AD34:AJ34"/>
    <mergeCell ref="S35:T35"/>
    <mergeCell ref="V35:AB35"/>
    <mergeCell ref="AD35:AJ35"/>
    <mergeCell ref="AH40:AJ40"/>
    <mergeCell ref="AA41:AB41"/>
    <mergeCell ref="AI41:AJ41"/>
    <mergeCell ref="AA42:AB42"/>
    <mergeCell ref="AI42:AJ42"/>
    <mergeCell ref="S38:AL38"/>
    <mergeCell ref="AM38:AM41"/>
    <mergeCell ref="S39:S41"/>
    <mergeCell ref="T39:T41"/>
    <mergeCell ref="V39:AB39"/>
    <mergeCell ref="AC39:AC41"/>
    <mergeCell ref="AD39:AJ39"/>
    <mergeCell ref="AK39:AK41"/>
    <mergeCell ref="AL39:AL41"/>
    <mergeCell ref="V40:V41"/>
    <mergeCell ref="W40:W41"/>
    <mergeCell ref="X40:Y40"/>
    <mergeCell ref="Z40:AB40"/>
    <mergeCell ref="AD40:AD41"/>
    <mergeCell ref="AE40:AE41"/>
    <mergeCell ref="AF40:AG40"/>
    <mergeCell ref="E43:E56"/>
    <mergeCell ref="V43:AC43"/>
    <mergeCell ref="AD43:AL43"/>
    <mergeCell ref="F44:F55"/>
    <mergeCell ref="V44:AC44"/>
    <mergeCell ref="AD44:AL44"/>
    <mergeCell ref="G45:G54"/>
    <mergeCell ref="V45:AC45"/>
    <mergeCell ref="AD45:AL45"/>
    <mergeCell ref="H46:H53"/>
    <mergeCell ref="V46:AC46"/>
    <mergeCell ref="AD46:AL46"/>
    <mergeCell ref="I47:I52"/>
    <mergeCell ref="P47:P52"/>
    <mergeCell ref="V47:AC47"/>
    <mergeCell ref="AD47:AL47"/>
    <mergeCell ref="T63:AM63"/>
    <mergeCell ref="T64:AM64"/>
    <mergeCell ref="T62:AM62"/>
    <mergeCell ref="AM49:AM51"/>
    <mergeCell ref="T59:AM59"/>
    <mergeCell ref="T60:AM60"/>
    <mergeCell ref="J48:J51"/>
    <mergeCell ref="Q48:Q51"/>
    <mergeCell ref="V48:AC48"/>
    <mergeCell ref="AD48:AL48"/>
    <mergeCell ref="K49:K50"/>
    <mergeCell ref="Z49:Z50"/>
    <mergeCell ref="AA49:AA50"/>
    <mergeCell ref="AB49:AB50"/>
    <mergeCell ref="AC49:AC50"/>
    <mergeCell ref="AH49:AH50"/>
    <mergeCell ref="AI49:AI50"/>
    <mergeCell ref="AJ49:AJ50"/>
    <mergeCell ref="AK49:AK50"/>
  </mergeCells>
  <dataValidations count="8">
    <dataValidation type="list" allowBlank="1" showInputMessage="1" errorTitle="Ошибка" error="Выберите значение из списка" prompt="Выберите значение из списка" sqref="V983088:AL983088 V65584:AL65584 V131120:AL131120 V196656:AL196656 V262192:AL262192 V327728:AL327728 V393264:AL393264 V458800:AL458800 V524336:AL524336 V589872:AL589872 V655408:AL655408 V720944:AL720944 V786480:AL786480 V852016:AL852016 V917552:AL917552">
      <formula1>kind_of_cons</formula1>
    </dataValidation>
    <dataValidation allowBlank="1" sqref="S131123:AM131129 S196659:AM196665 S262195:AM262201 S327731:AM327737 S393267:AM393273 S458803:AM458809 S524339:AM524345 S589875:AM589881 S655411:AM655417 S720947:AM720953 S786483:AM786489 S852019:AM852025 S917555:AM917561 S983091:AM983097 S65587:AM65593"/>
    <dataValidation type="list" allowBlank="1" showInputMessage="1" showErrorMessage="1" errorTitle="Ошибка" error="Выберите значение из списка" 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
      <formula1>kind_of_scheme_in</formula1>
    </dataValidation>
    <dataValidation type="textLength" operator="lessThanOrEqual" allowBlank="1" showInputMessage="1" showErrorMessage="1" errorTitle="Ошибка" error="Допускается ввод не более 900 символов!" sqref="AM65579:AM65586 AM131115:AM131122 AM196651:AM196658 AM262187:AM262194 AM327723:AM327730 AM393259:AM393266 AM458795:AM458802 AM524331:AM524338 AM589867:AM589874 AM655403:AM655410 AM720939:AM720946 AM786475:AM786482 AM852011:AM852018 AM917547:AM917554 AM983083:AM983090">
      <formula1>900</formula1>
    </dataValidation>
    <dataValidation type="list" allowBlank="1" showInputMessage="1" showErrorMessage="1" errorTitle="Ошибка" error="Выберите значение из списка" sqref="T65585 T131121 T196657 T262193 T327729 T393265 T458801 T524337 T589873 T655409 T720945 T786481 T852017 T917553 T983089">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dataValidation allowBlank="1" showInputMessage="1" showErrorMessage="1" prompt="Для выбора выполните двойной щелчок левой клавиши мыши по соответствующей ячейке."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327729 AK393265 AK49 AK524337 AK8 AK589873 AK655409 AK17 AK720945 AK786481 AK852017 AK917553 AK983089 AK65585 AK131121 AI49 AK458801 AI8 AC8 AA8 AI17 AK196657 AA49 AC49 AK262193"/>
    <dataValidation allowBlank="1" promptTitle="checkPeriodRange" sqref="Y65586 Y131122 Y196658 Y262194 Y327730 Y393266 Y458802 Y524338 Y589874 Y655410 Y720946 Y786482 Y852018 Y917554 Y983090 Y9 AG65586 AG131122 AG196658 AG262194 AG327730 AG393266 AG458802 AG524338 AG589874 AG655410 AG720946 AG786482 AG852018 AG917554 AG983090 AG9 AG50 AG18 Y50"/>
  </dataValidation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39997558519241921"/>
  </sheetPr>
  <dimension ref="A1:AR64"/>
  <sheetViews>
    <sheetView showGridLines="0" topLeftCell="P25" zoomScale="90" workbookViewId="0"/>
  </sheetViews>
  <sheetFormatPr defaultColWidth="10.5703125" defaultRowHeight="14.25" customHeight="1"/>
  <cols>
    <col min="1" max="1" width="10.5703125" style="1742" hidden="1"/>
    <col min="2" max="2" width="11" style="1742" hidden="1" customWidth="1"/>
    <col min="3" max="3" width="10.5703125" style="1742" hidden="1"/>
    <col min="4" max="4" width="11.85546875" style="1742" hidden="1" customWidth="1"/>
    <col min="5" max="5" width="10" style="1742" hidden="1" customWidth="1"/>
    <col min="6" max="6" width="8.7109375" style="1742" hidden="1" customWidth="1"/>
    <col min="7" max="7" width="7.5703125" style="1742" hidden="1" customWidth="1"/>
    <col min="8" max="8" width="11.42578125" style="1742" hidden="1" customWidth="1"/>
    <col min="9" max="9" width="12" style="1742" hidden="1" customWidth="1"/>
    <col min="10" max="10" width="9.85546875" style="1742" hidden="1" customWidth="1"/>
    <col min="11" max="11" width="11.42578125" style="1742" hidden="1" customWidth="1"/>
    <col min="12" max="12" width="19.140625" style="1741" hidden="1" customWidth="1"/>
    <col min="13" max="14" width="12.28515625" style="1683" hidden="1" customWidth="1"/>
    <col min="15" max="15" width="23.42578125" style="1683" hidden="1" customWidth="1"/>
    <col min="16" max="16" width="3.7109375" style="1720" customWidth="1"/>
    <col min="17" max="18" width="3.7109375" style="1674" customWidth="1"/>
    <col min="19" max="19" width="12.7109375" style="1713" customWidth="1"/>
    <col min="20" max="20" width="32" style="1829" customWidth="1"/>
    <col min="21" max="22" width="0.140625" style="1829" customWidth="1"/>
    <col min="23" max="23" width="24.7109375" style="1829" hidden="1" customWidth="1"/>
    <col min="24" max="25" width="0.140625" style="1829" hidden="1" customWidth="1"/>
    <col min="26" max="26" width="11.7109375" style="1829" hidden="1" customWidth="1"/>
    <col min="27" max="27" width="3.7109375" style="1829" hidden="1" customWidth="1"/>
    <col min="28" max="28" width="11.7109375" style="1829" hidden="1" customWidth="1"/>
    <col min="29" max="29" width="8.5703125" style="1829" hidden="1" customWidth="1"/>
    <col min="30" max="30" width="0.140625" style="1829" customWidth="1"/>
    <col min="31" max="31" width="24.7109375" style="1829" customWidth="1"/>
    <col min="32" max="33" width="0.140625" style="1829" customWidth="1"/>
    <col min="34" max="34" width="11.7109375" style="1829" customWidth="1"/>
    <col min="35" max="35" width="3.7109375" style="1829" customWidth="1"/>
    <col min="36" max="36" width="11.7109375" style="1829" customWidth="1"/>
    <col min="37" max="37" width="8.5703125" style="1829" hidden="1" customWidth="1"/>
    <col min="38" max="38" width="4.7109375" style="1829" customWidth="1"/>
    <col min="39" max="39" width="115.7109375" style="1829" customWidth="1"/>
    <col min="40" max="41" width="10.5703125" style="1755"/>
    <col min="42" max="42" width="11.140625" style="1755" customWidth="1"/>
    <col min="43" max="44" width="10.5703125" style="1755"/>
  </cols>
  <sheetData>
    <row r="1" spans="1:44" ht="14.25" hidden="1" customHeight="1">
      <c r="Y1" s="254"/>
      <c r="Z1" s="254"/>
      <c r="AG1" s="254"/>
      <c r="AH1" s="254"/>
    </row>
    <row r="2" spans="1:44" ht="21" hidden="1" customHeight="1">
      <c r="A2" s="1242"/>
      <c r="B2" s="1242"/>
      <c r="C2" s="1242"/>
      <c r="D2" s="1242"/>
      <c r="E2" s="2221">
        <v>1</v>
      </c>
      <c r="F2" s="1242"/>
      <c r="G2" s="1242"/>
      <c r="H2" s="1242"/>
      <c r="I2" s="1242"/>
      <c r="J2" s="1242"/>
      <c r="K2" s="1242"/>
      <c r="L2" s="1243"/>
      <c r="M2" s="1244"/>
      <c r="N2" s="1244"/>
      <c r="O2" s="1244"/>
      <c r="P2" s="285"/>
      <c r="Q2" s="284"/>
      <c r="R2" s="279"/>
      <c r="S2" s="1219" t="e">
        <f>INDEX(PT_DIFFERENTIATION_NUM_NTAR,MATCH(A2,PT_DIFFERENTIATION_NTAR_ID,0))</f>
        <v>#N/A</v>
      </c>
      <c r="T2" s="216" t="s">
        <v>124</v>
      </c>
      <c r="U2" s="218"/>
      <c r="V2" s="2215"/>
      <c r="W2" s="2216"/>
      <c r="X2" s="2216"/>
      <c r="Y2" s="2216"/>
      <c r="Z2" s="2216"/>
      <c r="AA2" s="2216"/>
      <c r="AB2" s="2216"/>
      <c r="AC2" s="2217"/>
      <c r="AD2" s="2215" t="e">
        <f>INDEX(PT_DIFFERENTIATION_NTAR,MATCH(A2,PT_DIFFERENTIATION_NTAR_ID,0))</f>
        <v>#N/A</v>
      </c>
      <c r="AE2" s="2216"/>
      <c r="AF2" s="2216"/>
      <c r="AG2" s="2216"/>
      <c r="AH2" s="2216"/>
      <c r="AI2" s="2216"/>
      <c r="AJ2" s="2216"/>
      <c r="AK2" s="2216"/>
      <c r="AL2" s="2217"/>
      <c r="AM2" s="1138" t="s">
        <v>1462</v>
      </c>
      <c r="AO2" s="428"/>
      <c r="AP2" s="428" t="str">
        <f t="shared" ref="AP2:AP15" si="0">IF(T2="","",T2)</f>
        <v>Наименование тарифа</v>
      </c>
      <c r="AQ2" s="428"/>
      <c r="AR2" s="428"/>
    </row>
    <row r="3" spans="1:44" ht="21" hidden="1" customHeight="1">
      <c r="A3" s="1242"/>
      <c r="B3" s="1242"/>
      <c r="C3" s="1242"/>
      <c r="D3" s="1242"/>
      <c r="E3" s="2222"/>
      <c r="F3" s="2221">
        <v>1</v>
      </c>
      <c r="G3" s="1242"/>
      <c r="H3" s="1242"/>
      <c r="I3" s="1242"/>
      <c r="J3" s="1242"/>
      <c r="K3" s="1242"/>
      <c r="L3" s="1243"/>
      <c r="M3" s="1244"/>
      <c r="N3" s="1244"/>
      <c r="O3" s="1244"/>
      <c r="P3" s="1215"/>
      <c r="Q3" s="276"/>
      <c r="R3" s="277"/>
      <c r="S3" s="1219" t="e">
        <f>INDEX(PT_DIFFERENTIATION_NUM_TER,MATCH(B3,PT_DIFFERENTIATION_TER_ID,0))</f>
        <v>#N/A</v>
      </c>
      <c r="T3" s="228" t="s">
        <v>1463</v>
      </c>
      <c r="U3" s="218"/>
      <c r="V3" s="2215"/>
      <c r="W3" s="2216"/>
      <c r="X3" s="2216"/>
      <c r="Y3" s="2216"/>
      <c r="Z3" s="2216"/>
      <c r="AA3" s="2216"/>
      <c r="AB3" s="2216"/>
      <c r="AC3" s="2217"/>
      <c r="AD3" s="2215" t="e">
        <f>INDEX(PT_DIFFERENTIATION_TER,MATCH(B3,PT_DIFFERENTIATION_TER_ID,0))</f>
        <v>#N/A</v>
      </c>
      <c r="AE3" s="2216"/>
      <c r="AF3" s="2216"/>
      <c r="AG3" s="2216"/>
      <c r="AH3" s="2216"/>
      <c r="AI3" s="2216"/>
      <c r="AJ3" s="2216"/>
      <c r="AK3" s="2216"/>
      <c r="AL3" s="2217"/>
      <c r="AM3" s="1138" t="s">
        <v>1464</v>
      </c>
      <c r="AO3" s="428"/>
      <c r="AP3" s="428" t="str">
        <f t="shared" si="0"/>
        <v>Территория действия тарифа</v>
      </c>
      <c r="AQ3" s="428"/>
      <c r="AR3" s="428"/>
    </row>
    <row r="4" spans="1:44" ht="23.25" hidden="1" customHeight="1">
      <c r="A4" s="1242"/>
      <c r="B4" s="1242"/>
      <c r="C4" s="1242"/>
      <c r="D4" s="1242"/>
      <c r="E4" s="2222"/>
      <c r="F4" s="2222"/>
      <c r="G4" s="2221">
        <v>1</v>
      </c>
      <c r="H4" s="1242"/>
      <c r="I4" s="1242"/>
      <c r="J4" s="1242"/>
      <c r="K4" s="1242"/>
      <c r="L4" s="1243"/>
      <c r="M4" s="1244"/>
      <c r="N4" s="1244"/>
      <c r="O4" s="1244"/>
      <c r="P4" s="278"/>
      <c r="Q4" s="276"/>
      <c r="R4" s="277"/>
      <c r="S4" s="1219" t="e">
        <f>INDEX(PT_DIFFERENTIATION_NUM_CS,MATCH(C4,PT_DIFFERENTIATION_CS_ID,0))</f>
        <v>#N/A</v>
      </c>
      <c r="T4" s="229" t="s">
        <v>1465</v>
      </c>
      <c r="U4" s="218"/>
      <c r="V4" s="2215"/>
      <c r="W4" s="2216"/>
      <c r="X4" s="2216"/>
      <c r="Y4" s="2216"/>
      <c r="Z4" s="2216"/>
      <c r="AA4" s="2216"/>
      <c r="AB4" s="2216"/>
      <c r="AC4" s="2217"/>
      <c r="AD4" s="2215" t="e">
        <f>INDEX(PT_DIFFERENTIATION_CS,MATCH(C4,PT_DIFFERENTIATION_CS_ID,0))</f>
        <v>#N/A</v>
      </c>
      <c r="AE4" s="2216"/>
      <c r="AF4" s="2216"/>
      <c r="AG4" s="2216"/>
      <c r="AH4" s="2216"/>
      <c r="AI4" s="2216"/>
      <c r="AJ4" s="2216"/>
      <c r="AK4" s="2216"/>
      <c r="AL4" s="2217"/>
      <c r="AM4" s="1138" t="s">
        <v>1466</v>
      </c>
      <c r="AO4" s="428"/>
      <c r="AP4" s="428" t="str">
        <f t="shared" si="0"/>
        <v xml:space="preserve">Наименование системы теплоснабжения </v>
      </c>
      <c r="AQ4" s="428"/>
      <c r="AR4" s="428"/>
    </row>
    <row r="5" spans="1:44" ht="21" hidden="1" customHeight="1">
      <c r="A5" s="1242"/>
      <c r="B5" s="1242"/>
      <c r="C5" s="1242"/>
      <c r="D5" s="1242"/>
      <c r="E5" s="2222"/>
      <c r="F5" s="2222"/>
      <c r="G5" s="2222"/>
      <c r="H5" s="2221">
        <v>1</v>
      </c>
      <c r="I5" s="1242"/>
      <c r="J5" s="1242"/>
      <c r="K5" s="1242"/>
      <c r="L5" s="1243"/>
      <c r="M5" s="1244"/>
      <c r="N5" s="1244"/>
      <c r="O5" s="1244"/>
      <c r="P5" s="278"/>
      <c r="Q5" s="276"/>
      <c r="R5" s="277"/>
      <c r="S5" s="1219" t="e">
        <f>INDEX(PT_DIFFERENTIATION_NUM_IST_TE,MATCH(D5,PT_DIFFERENTIATION_IST_TE_ID,0))</f>
        <v>#N/A</v>
      </c>
      <c r="T5" s="230" t="s">
        <v>1467</v>
      </c>
      <c r="U5" s="218"/>
      <c r="V5" s="2215"/>
      <c r="W5" s="2216"/>
      <c r="X5" s="2216"/>
      <c r="Y5" s="2216"/>
      <c r="Z5" s="2216"/>
      <c r="AA5" s="2216"/>
      <c r="AB5" s="2216"/>
      <c r="AC5" s="2217"/>
      <c r="AD5" s="2215" t="e">
        <f>INDEX(PT_DIFFERENTIATION_IST_TE,MATCH(D5,PT_DIFFERENTIATION_IST_TE_ID,0))</f>
        <v>#N/A</v>
      </c>
      <c r="AE5" s="2216"/>
      <c r="AF5" s="2216"/>
      <c r="AG5" s="2216"/>
      <c r="AH5" s="2216"/>
      <c r="AI5" s="2216"/>
      <c r="AJ5" s="2216"/>
      <c r="AK5" s="2216"/>
      <c r="AL5" s="2217"/>
      <c r="AM5" s="1138" t="s">
        <v>1468</v>
      </c>
      <c r="AO5" s="428"/>
      <c r="AP5" s="428" t="str">
        <f t="shared" si="0"/>
        <v xml:space="preserve">Источник тепловой энергии  </v>
      </c>
      <c r="AQ5" s="428"/>
      <c r="AR5" s="428"/>
    </row>
    <row r="6" spans="1:44" ht="47.25" hidden="1" customHeight="1">
      <c r="A6" s="1242"/>
      <c r="B6" s="1242"/>
      <c r="C6" s="1242"/>
      <c r="D6" s="1242"/>
      <c r="E6" s="2222"/>
      <c r="F6" s="2222"/>
      <c r="G6" s="2222"/>
      <c r="H6" s="2222"/>
      <c r="I6" s="2223" t="e">
        <f>S5&amp;".1"</f>
        <v>#N/A</v>
      </c>
      <c r="J6" s="1242"/>
      <c r="K6" s="1242"/>
      <c r="L6" s="1243" t="s">
        <v>1469</v>
      </c>
      <c r="M6" s="464"/>
      <c r="P6" s="2143">
        <v>1</v>
      </c>
      <c r="Q6" s="1214"/>
      <c r="R6" s="280"/>
      <c r="S6" s="1219" t="e">
        <f>$I6</f>
        <v>#N/A</v>
      </c>
      <c r="T6" s="203" t="s">
        <v>1470</v>
      </c>
      <c r="U6" s="218"/>
      <c r="V6" s="2210"/>
      <c r="W6" s="2211"/>
      <c r="X6" s="2211"/>
      <c r="Y6" s="2211"/>
      <c r="Z6" s="2211"/>
      <c r="AA6" s="2211"/>
      <c r="AB6" s="2211"/>
      <c r="AC6" s="2212"/>
      <c r="AD6" s="2210"/>
      <c r="AE6" s="2211"/>
      <c r="AF6" s="2211"/>
      <c r="AG6" s="2211"/>
      <c r="AH6" s="2211"/>
      <c r="AI6" s="2211"/>
      <c r="AJ6" s="2211"/>
      <c r="AK6" s="2211"/>
      <c r="AL6" s="2212"/>
      <c r="AM6" s="1138" t="s">
        <v>1471</v>
      </c>
      <c r="AO6" s="428"/>
      <c r="AP6" s="428" t="str">
        <f t="shared" si="0"/>
        <v>Схема подключения теплопотребляющей установки к коллектору источника тепловой энергии</v>
      </c>
      <c r="AQ6" s="428"/>
      <c r="AR6" s="428"/>
    </row>
    <row r="7" spans="1:44" ht="21" hidden="1" customHeight="1">
      <c r="A7" s="1242"/>
      <c r="B7" s="1242"/>
      <c r="C7" s="1242"/>
      <c r="D7" s="1242"/>
      <c r="E7" s="2222"/>
      <c r="F7" s="2222"/>
      <c r="G7" s="2222"/>
      <c r="H7" s="2222"/>
      <c r="I7" s="2224"/>
      <c r="J7" s="2223" t="e">
        <f>I6&amp;".1"</f>
        <v>#N/A</v>
      </c>
      <c r="K7" s="1242"/>
      <c r="L7" s="1243" t="s">
        <v>1472</v>
      </c>
      <c r="M7" s="464"/>
      <c r="N7" s="1245"/>
      <c r="P7" s="2143"/>
      <c r="Q7" s="2143">
        <v>1</v>
      </c>
      <c r="R7" s="281"/>
      <c r="S7" s="1219" t="e">
        <f>$J7</f>
        <v>#N/A</v>
      </c>
      <c r="T7" s="204" t="s">
        <v>1473</v>
      </c>
      <c r="U7" s="218"/>
      <c r="V7" s="2210"/>
      <c r="W7" s="2211"/>
      <c r="X7" s="2211"/>
      <c r="Y7" s="2211"/>
      <c r="Z7" s="2211"/>
      <c r="AA7" s="2211"/>
      <c r="AB7" s="2211"/>
      <c r="AC7" s="2212"/>
      <c r="AD7" s="2210"/>
      <c r="AE7" s="2211"/>
      <c r="AF7" s="2211"/>
      <c r="AG7" s="2211"/>
      <c r="AH7" s="2211"/>
      <c r="AI7" s="2211"/>
      <c r="AJ7" s="2211"/>
      <c r="AK7" s="2211"/>
      <c r="AL7" s="2212"/>
      <c r="AM7" s="1138" t="s">
        <v>1474</v>
      </c>
      <c r="AO7" s="428"/>
      <c r="AP7" s="428" t="str">
        <f t="shared" si="0"/>
        <v>Группа потребителей</v>
      </c>
      <c r="AQ7" s="428"/>
      <c r="AR7" s="428"/>
    </row>
    <row r="8" spans="1:44" ht="21" hidden="1" customHeight="1">
      <c r="A8" s="1242"/>
      <c r="B8" s="1242"/>
      <c r="C8" s="1242"/>
      <c r="D8" s="1242"/>
      <c r="E8" s="2222"/>
      <c r="F8" s="2222"/>
      <c r="G8" s="2222"/>
      <c r="H8" s="2222"/>
      <c r="I8" s="2224"/>
      <c r="J8" s="2224"/>
      <c r="K8" s="2223" t="e">
        <f>J7&amp;".1"</f>
        <v>#N/A</v>
      </c>
      <c r="L8" s="1243" t="s">
        <v>1475</v>
      </c>
      <c r="M8" s="464"/>
      <c r="N8" s="1245"/>
      <c r="O8" s="1245"/>
      <c r="P8" s="2143"/>
      <c r="Q8" s="2143"/>
      <c r="R8" s="281">
        <v>1</v>
      </c>
      <c r="S8" s="1219" t="e">
        <f>$K8</f>
        <v>#N/A</v>
      </c>
      <c r="T8" s="1230"/>
      <c r="U8" s="218"/>
      <c r="V8" s="1665"/>
      <c r="W8" s="1664"/>
      <c r="X8" s="1665"/>
      <c r="Y8" s="1675"/>
      <c r="Z8" s="2225"/>
      <c r="AA8" s="2017" t="s">
        <v>62</v>
      </c>
      <c r="AB8" s="2225"/>
      <c r="AC8" s="2017" t="s">
        <v>62</v>
      </c>
      <c r="AD8" s="1665"/>
      <c r="AE8" s="1664"/>
      <c r="AF8" s="1665"/>
      <c r="AG8" s="1675"/>
      <c r="AH8" s="2225"/>
      <c r="AI8" s="2017" t="s">
        <v>62</v>
      </c>
      <c r="AJ8" s="2225"/>
      <c r="AK8" s="2017" t="s">
        <v>62</v>
      </c>
      <c r="AL8" s="1665"/>
      <c r="AM8" s="2243" t="s">
        <v>1476</v>
      </c>
      <c r="AN8" s="439" t="e">
        <f ca="1">STRCHECKDATE(V9:AL9)</f>
        <v>#NAME?</v>
      </c>
      <c r="AO8" s="428"/>
      <c r="AP8" s="428" t="str">
        <f t="shared" si="0"/>
        <v/>
      </c>
      <c r="AQ8" s="428"/>
      <c r="AR8" s="428"/>
    </row>
    <row r="9" spans="1:44" ht="0.75" hidden="1" customHeight="1">
      <c r="A9" s="1242"/>
      <c r="B9" s="1242"/>
      <c r="C9" s="1242"/>
      <c r="D9" s="1242"/>
      <c r="E9" s="2222"/>
      <c r="F9" s="2222"/>
      <c r="G9" s="2222"/>
      <c r="H9" s="2222"/>
      <c r="I9" s="2224"/>
      <c r="J9" s="2224"/>
      <c r="K9" s="2223"/>
      <c r="L9" s="1243"/>
      <c r="M9" s="464"/>
      <c r="N9" s="1245"/>
      <c r="O9" s="1245"/>
      <c r="P9" s="2143"/>
      <c r="Q9" s="2143"/>
      <c r="R9" s="281"/>
      <c r="S9" s="1225"/>
      <c r="T9" s="218"/>
      <c r="U9" s="218"/>
      <c r="V9" s="1665"/>
      <c r="W9" s="1665"/>
      <c r="X9" s="1665"/>
      <c r="Y9" s="1667" t="str">
        <f>Z8&amp;"-"&amp;AB8</f>
        <v>-</v>
      </c>
      <c r="Z9" s="2226"/>
      <c r="AA9" s="2017"/>
      <c r="AB9" s="2226"/>
      <c r="AC9" s="2017"/>
      <c r="AD9" s="1665"/>
      <c r="AE9" s="1665"/>
      <c r="AF9" s="1665"/>
      <c r="AG9" s="1667" t="str">
        <f>AH8&amp;"-"&amp;AJ8</f>
        <v>-</v>
      </c>
      <c r="AH9" s="2226"/>
      <c r="AI9" s="2017"/>
      <c r="AJ9" s="2226"/>
      <c r="AK9" s="2017"/>
      <c r="AL9" s="1665"/>
      <c r="AM9" s="2244"/>
      <c r="AO9" s="428"/>
      <c r="AP9" s="428" t="str">
        <f t="shared" si="0"/>
        <v/>
      </c>
      <c r="AQ9" s="428"/>
      <c r="AR9" s="428"/>
    </row>
    <row r="10" spans="1:44" ht="15" hidden="1" customHeight="1">
      <c r="A10" s="1242"/>
      <c r="B10" s="1242"/>
      <c r="C10" s="1242"/>
      <c r="D10" s="1242"/>
      <c r="E10" s="2222"/>
      <c r="F10" s="2222"/>
      <c r="G10" s="2222"/>
      <c r="H10" s="2222"/>
      <c r="I10" s="2224"/>
      <c r="J10" s="2223"/>
      <c r="K10" s="1242"/>
      <c r="L10" s="1243"/>
      <c r="M10" s="464"/>
      <c r="N10" s="1245"/>
      <c r="P10" s="2143"/>
      <c r="Q10" s="2143"/>
      <c r="R10" s="280"/>
      <c r="S10" s="1159"/>
      <c r="T10" s="206" t="s">
        <v>1477</v>
      </c>
      <c r="U10" s="294"/>
      <c r="V10" s="294"/>
      <c r="W10" s="294"/>
      <c r="X10" s="294"/>
      <c r="Y10" s="294"/>
      <c r="Z10" s="294"/>
      <c r="AA10" s="294"/>
      <c r="AB10" s="294"/>
      <c r="AC10" s="294"/>
      <c r="AD10" s="294"/>
      <c r="AE10" s="294"/>
      <c r="AF10" s="294"/>
      <c r="AG10" s="294"/>
      <c r="AH10" s="294"/>
      <c r="AI10" s="294"/>
      <c r="AJ10" s="294"/>
      <c r="AK10" s="294"/>
      <c r="AL10" s="251"/>
      <c r="AM10" s="2245"/>
      <c r="AO10" s="428"/>
      <c r="AP10" s="428" t="str">
        <f t="shared" si="0"/>
        <v>Добавить вид теплоносителя (параметры теплоносителя)</v>
      </c>
      <c r="AQ10" s="428"/>
      <c r="AR10" s="428"/>
    </row>
    <row r="11" spans="1:44" ht="15" hidden="1" customHeight="1">
      <c r="A11" s="1242"/>
      <c r="B11" s="1242"/>
      <c r="C11" s="1242"/>
      <c r="D11" s="1242"/>
      <c r="E11" s="2222"/>
      <c r="F11" s="2222"/>
      <c r="G11" s="2222"/>
      <c r="H11" s="2222"/>
      <c r="I11" s="2223"/>
      <c r="J11" s="1242"/>
      <c r="K11" s="1242"/>
      <c r="L11" s="1243"/>
      <c r="M11" s="464"/>
      <c r="P11" s="2143"/>
      <c r="Q11" s="1214"/>
      <c r="R11" s="280"/>
      <c r="S11" s="1159"/>
      <c r="T11" s="205" t="s">
        <v>1478</v>
      </c>
      <c r="U11" s="294"/>
      <c r="V11" s="294"/>
      <c r="W11" s="294"/>
      <c r="X11" s="294"/>
      <c r="Y11" s="294"/>
      <c r="Z11" s="294"/>
      <c r="AA11" s="294"/>
      <c r="AB11" s="294"/>
      <c r="AC11" s="293"/>
      <c r="AD11" s="294"/>
      <c r="AE11" s="294"/>
      <c r="AF11" s="294"/>
      <c r="AG11" s="294"/>
      <c r="AH11" s="294"/>
      <c r="AI11" s="294"/>
      <c r="AJ11" s="294"/>
      <c r="AK11" s="293"/>
      <c r="AL11" s="294"/>
      <c r="AM11" s="221"/>
      <c r="AO11" s="428"/>
      <c r="AP11" s="428" t="str">
        <f t="shared" si="0"/>
        <v>Добавить группу потребителей</v>
      </c>
      <c r="AQ11" s="428"/>
      <c r="AR11" s="428"/>
    </row>
    <row r="12" spans="1:44" ht="14.25" hidden="1" customHeight="1">
      <c r="A12" s="1242"/>
      <c r="B12" s="1242"/>
      <c r="C12" s="1242"/>
      <c r="D12" s="1242"/>
      <c r="E12" s="2222"/>
      <c r="F12" s="2222"/>
      <c r="G12" s="2222"/>
      <c r="H12" s="2221"/>
      <c r="I12" s="1242"/>
      <c r="J12" s="1242"/>
      <c r="K12" s="1242"/>
      <c r="L12" s="1243"/>
      <c r="M12" s="1244"/>
      <c r="N12" s="1244"/>
      <c r="O12" s="464"/>
      <c r="P12" s="284"/>
      <c r="Q12" s="303"/>
      <c r="R12" s="279"/>
      <c r="S12" s="1159"/>
      <c r="T12" s="291" t="s">
        <v>1479</v>
      </c>
      <c r="U12" s="294"/>
      <c r="V12" s="294"/>
      <c r="W12" s="294"/>
      <c r="X12" s="294"/>
      <c r="Y12" s="294"/>
      <c r="Z12" s="294"/>
      <c r="AA12" s="294"/>
      <c r="AB12" s="294"/>
      <c r="AC12" s="293"/>
      <c r="AD12" s="294"/>
      <c r="AE12" s="294"/>
      <c r="AF12" s="294"/>
      <c r="AG12" s="294"/>
      <c r="AH12" s="294"/>
      <c r="AI12" s="294"/>
      <c r="AJ12" s="294"/>
      <c r="AK12" s="293"/>
      <c r="AL12" s="294"/>
      <c r="AM12" s="221"/>
      <c r="AO12" s="428"/>
      <c r="AP12" s="428" t="str">
        <f t="shared" si="0"/>
        <v>Добавить схему подключения</v>
      </c>
      <c r="AQ12" s="428"/>
      <c r="AR12" s="428"/>
    </row>
    <row r="13" spans="1:44" s="1755" customFormat="1" ht="0.75" hidden="1" customHeight="1">
      <c r="A13" s="1198"/>
      <c r="B13" s="1198"/>
      <c r="C13" s="1198"/>
      <c r="D13" s="1198"/>
      <c r="E13" s="2222"/>
      <c r="F13" s="2222"/>
      <c r="G13" s="2221"/>
      <c r="H13" s="1198"/>
      <c r="I13" s="1198"/>
      <c r="J13" s="1198"/>
      <c r="K13" s="1198"/>
      <c r="L13" s="1222"/>
      <c r="M13" s="1199"/>
      <c r="N13" s="1199"/>
      <c r="P13" s="1200"/>
      <c r="Q13" s="1201"/>
      <c r="R13" s="1200"/>
      <c r="S13" s="1202"/>
      <c r="T13" s="1203" t="s">
        <v>1438</v>
      </c>
      <c r="U13" s="1204"/>
      <c r="V13" s="1204"/>
      <c r="W13" s="1204"/>
      <c r="X13" s="1204"/>
      <c r="Y13" s="1204"/>
      <c r="Z13" s="1204"/>
      <c r="AA13" s="1204"/>
      <c r="AB13" s="1204"/>
      <c r="AC13" s="1204"/>
      <c r="AD13" s="1204"/>
      <c r="AE13" s="1204"/>
      <c r="AF13" s="1204"/>
      <c r="AG13" s="1204"/>
      <c r="AH13" s="1204"/>
      <c r="AI13" s="1204"/>
      <c r="AJ13" s="1204"/>
      <c r="AK13" s="1204"/>
      <c r="AL13" s="1204"/>
      <c r="AM13" s="1204"/>
      <c r="AO13" s="695"/>
      <c r="AP13" s="695" t="str">
        <f t="shared" si="0"/>
        <v>Добавить источник для дифференциации</v>
      </c>
      <c r="AQ13" s="695"/>
      <c r="AR13" s="695"/>
    </row>
    <row r="14" spans="1:44" s="1755" customFormat="1" ht="0.75" hidden="1" customHeight="1">
      <c r="A14" s="1198"/>
      <c r="B14" s="1198"/>
      <c r="C14" s="1198"/>
      <c r="D14" s="1198"/>
      <c r="E14" s="2222"/>
      <c r="F14" s="2221"/>
      <c r="G14" s="1198"/>
      <c r="H14" s="1198"/>
      <c r="I14" s="1198"/>
      <c r="J14" s="1198"/>
      <c r="K14" s="1198"/>
      <c r="L14" s="1222"/>
      <c r="M14" s="1205"/>
      <c r="N14" s="1205"/>
      <c r="P14" s="1200"/>
      <c r="Q14" s="1201"/>
      <c r="R14" s="1200"/>
      <c r="S14" s="1206"/>
      <c r="T14" s="1207" t="s">
        <v>1439</v>
      </c>
      <c r="U14" s="1208"/>
      <c r="V14" s="1208"/>
      <c r="W14" s="1208"/>
      <c r="X14" s="1208"/>
      <c r="Y14" s="1208"/>
      <c r="Z14" s="1208"/>
      <c r="AA14" s="1208"/>
      <c r="AB14" s="1208"/>
      <c r="AC14" s="1208"/>
      <c r="AD14" s="1208"/>
      <c r="AE14" s="1208"/>
      <c r="AF14" s="1208"/>
      <c r="AG14" s="1208"/>
      <c r="AH14" s="1208"/>
      <c r="AI14" s="1208"/>
      <c r="AJ14" s="1208"/>
      <c r="AK14" s="1208"/>
      <c r="AL14" s="1208"/>
      <c r="AM14" s="1208"/>
      <c r="AO14" s="695"/>
      <c r="AP14" s="695" t="str">
        <f t="shared" si="0"/>
        <v>Добавить централизованную систему для дифференциации</v>
      </c>
      <c r="AQ14" s="695"/>
      <c r="AR14" s="695"/>
    </row>
    <row r="15" spans="1:44" s="1755" customFormat="1" ht="0.75" hidden="1" customHeight="1">
      <c r="A15" s="1198"/>
      <c r="B15" s="1198"/>
      <c r="C15" s="1198"/>
      <c r="D15" s="1198"/>
      <c r="E15" s="2221"/>
      <c r="F15" s="1198"/>
      <c r="G15" s="1198"/>
      <c r="H15" s="1198"/>
      <c r="I15" s="1198"/>
      <c r="J15" s="1198"/>
      <c r="K15" s="1198"/>
      <c r="L15" s="1222"/>
      <c r="M15" s="1205"/>
      <c r="N15" s="1205"/>
      <c r="P15" s="1200"/>
      <c r="Q15" s="1201"/>
      <c r="R15" s="1200"/>
      <c r="S15" s="1206"/>
      <c r="T15" s="1209" t="s">
        <v>1440</v>
      </c>
      <c r="U15" s="1208"/>
      <c r="V15" s="1208"/>
      <c r="W15" s="1208"/>
      <c r="X15" s="1208"/>
      <c r="Y15" s="1208"/>
      <c r="Z15" s="1208"/>
      <c r="AA15" s="1208"/>
      <c r="AB15" s="1208"/>
      <c r="AC15" s="1208"/>
      <c r="AD15" s="1208"/>
      <c r="AE15" s="1208"/>
      <c r="AF15" s="1208"/>
      <c r="AG15" s="1208"/>
      <c r="AH15" s="1208"/>
      <c r="AI15" s="1208"/>
      <c r="AJ15" s="1208"/>
      <c r="AK15" s="1208"/>
      <c r="AL15" s="1208"/>
      <c r="AM15" s="1208"/>
      <c r="AO15" s="695"/>
      <c r="AP15" s="695" t="str">
        <f t="shared" si="0"/>
        <v>Добавить территорию для дифференциации</v>
      </c>
      <c r="AQ15" s="695"/>
      <c r="AR15" s="695"/>
    </row>
    <row r="16" spans="1:44" ht="14.25" hidden="1" customHeight="1">
      <c r="AC16" s="254"/>
      <c r="AK16" s="254"/>
    </row>
    <row r="17" spans="1:44" ht="14.25" hidden="1" customHeight="1">
      <c r="AD17" s="1668"/>
      <c r="AE17" s="1668"/>
      <c r="AF17" s="1668"/>
      <c r="AG17" s="1669"/>
      <c r="AH17" s="2219"/>
      <c r="AI17" s="2218" t="s">
        <v>62</v>
      </c>
      <c r="AJ17" s="2219"/>
      <c r="AK17" s="2218" t="s">
        <v>62</v>
      </c>
    </row>
    <row r="18" spans="1:44" ht="14.25" hidden="1" customHeight="1">
      <c r="AD18" s="1668"/>
      <c r="AE18" s="1668"/>
      <c r="AF18" s="1668"/>
      <c r="AG18" s="1667" t="str">
        <f>AH17&amp;"-"&amp;AJ17</f>
        <v>-</v>
      </c>
      <c r="AH18" s="2218"/>
      <c r="AI18" s="2218"/>
      <c r="AJ18" s="2218"/>
      <c r="AK18" s="2218"/>
    </row>
    <row r="19" spans="1:44" ht="14.25" hidden="1" customHeight="1">
      <c r="AK19" s="254"/>
    </row>
    <row r="20" spans="1:44" s="1742" customFormat="1" ht="22.5" hidden="1" customHeight="1">
      <c r="L20" s="1212"/>
      <c r="M20" s="1241"/>
      <c r="N20" s="1241"/>
      <c r="O20" s="1246" t="s">
        <v>1480</v>
      </c>
      <c r="P20" s="1241"/>
      <c r="Q20" s="1250"/>
      <c r="R20" s="1250"/>
      <c r="S20" s="643"/>
      <c r="Z20" s="1246"/>
      <c r="AB20" s="1246"/>
      <c r="AC20" s="1245"/>
      <c r="AH20" s="1246"/>
      <c r="AJ20" s="1246"/>
      <c r="AK20" s="1245"/>
      <c r="AN20" s="439"/>
      <c r="AO20" s="439"/>
      <c r="AP20" s="439"/>
      <c r="AQ20" s="439"/>
      <c r="AR20" s="439"/>
    </row>
    <row r="21" spans="1:44" s="1742" customFormat="1" ht="14.25" hidden="1" customHeight="1">
      <c r="L21" s="1212"/>
      <c r="M21" s="1241"/>
      <c r="N21" s="1241"/>
      <c r="O21" s="1241"/>
      <c r="P21" s="1241"/>
      <c r="Q21" s="1250"/>
      <c r="R21" s="1250"/>
      <c r="S21" s="643"/>
      <c r="AC21" s="1245"/>
      <c r="AK21" s="1245"/>
      <c r="AN21" s="439"/>
      <c r="AO21" s="439"/>
      <c r="AP21" s="439"/>
      <c r="AQ21" s="439"/>
      <c r="AR21" s="439"/>
    </row>
    <row r="22" spans="1:44" s="1742" customFormat="1" ht="33.75" hidden="1" customHeight="1">
      <c r="L22" s="1212"/>
      <c r="M22" s="1241"/>
      <c r="N22" s="1241"/>
      <c r="O22" s="1243" t="s">
        <v>1481</v>
      </c>
      <c r="P22" s="1241"/>
      <c r="Q22" s="1250"/>
      <c r="R22" s="1250"/>
      <c r="S22" s="643"/>
      <c r="T22" s="1034" t="s">
        <v>1482</v>
      </c>
      <c r="AA22" s="111" t="s">
        <v>1483</v>
      </c>
      <c r="AC22" s="111" t="s">
        <v>1484</v>
      </c>
      <c r="AD22" s="1034" t="s">
        <v>1482</v>
      </c>
      <c r="AI22" s="111" t="s">
        <v>1485</v>
      </c>
      <c r="AK22" s="111" t="s">
        <v>1484</v>
      </c>
      <c r="AN22" s="439"/>
      <c r="AO22" s="439"/>
      <c r="AP22" s="439"/>
      <c r="AQ22" s="439"/>
      <c r="AR22" s="439"/>
    </row>
    <row r="23" spans="1:44" ht="14.25" hidden="1" customHeight="1">
      <c r="O23" s="1243"/>
    </row>
    <row r="24" spans="1:44" ht="14.25" hidden="1" customHeight="1">
      <c r="O24" s="1243"/>
    </row>
    <row r="25" spans="1:44" ht="14.25" customHeight="1">
      <c r="Q25" s="304"/>
      <c r="R25" s="304"/>
      <c r="S25" s="1156"/>
      <c r="T25" s="289"/>
      <c r="U25" s="289"/>
      <c r="V25" s="437"/>
      <c r="W25" s="437"/>
      <c r="X25" s="437"/>
      <c r="Y25" s="437"/>
      <c r="Z25" s="437"/>
      <c r="AA25" s="437"/>
      <c r="AB25" s="437"/>
      <c r="AC25" s="437"/>
      <c r="AD25" s="437"/>
      <c r="AE25" s="437"/>
      <c r="AF25" s="437"/>
      <c r="AG25" s="437"/>
      <c r="AH25" s="437"/>
      <c r="AI25" s="437"/>
      <c r="AJ25" s="437"/>
      <c r="AK25" s="437"/>
    </row>
    <row r="26" spans="1:44" ht="88.5" customHeight="1">
      <c r="Q26" s="304"/>
      <c r="R26" s="304"/>
      <c r="S26" s="2065" t="str">
        <f>IF(TEMPLATE_GROUP="P",PT_P_FORM_HEAT_4_NAME_FORM,PT_R_FORM_HEAT_21_NAME_FORM)</f>
        <v>Форма 21. Информация о расчетной величине тарифов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 тарифов на тепловую энергию (мощность), поставляемую теплоснабжающими организациями потребителям, другим теплоснабжающим организациям, об установленной плате за услуги по поддержанию резервной тепловой мощности при отсутствии потребления тепловой энергии  &lt;1&gt;</v>
      </c>
      <c r="T26" s="2065"/>
      <c r="U26" s="2065"/>
      <c r="V26" s="2065"/>
      <c r="W26" s="2065"/>
      <c r="X26" s="2065"/>
      <c r="Y26" s="2065"/>
      <c r="Z26" s="2065"/>
      <c r="AA26" s="2065"/>
      <c r="AB26" s="2065"/>
      <c r="AC26" s="2065"/>
      <c r="AD26" s="2065"/>
      <c r="AE26" s="2065"/>
      <c r="AF26" s="2065"/>
      <c r="AG26" s="2065"/>
      <c r="AH26" s="2065"/>
      <c r="AI26" s="2065"/>
      <c r="AJ26" s="2065"/>
      <c r="AK26" s="1114"/>
    </row>
    <row r="27" spans="1:44" ht="14.25" customHeight="1">
      <c r="Q27" s="304"/>
      <c r="R27" s="304"/>
      <c r="S27" s="2088" t="str">
        <f>IF(org=0,"Не определено",org)</f>
        <v>МУП г. Астрахани "Коммунэнерго"</v>
      </c>
      <c r="T27" s="2088"/>
      <c r="U27" s="2088"/>
      <c r="V27" s="2088"/>
      <c r="W27" s="2088"/>
      <c r="X27" s="2088"/>
      <c r="Y27" s="2088"/>
      <c r="Z27" s="2088"/>
      <c r="AA27" s="2088"/>
      <c r="AB27" s="2088"/>
      <c r="AC27" s="2088"/>
      <c r="AD27" s="2088"/>
      <c r="AE27" s="2088"/>
      <c r="AF27" s="2088"/>
      <c r="AG27" s="2088"/>
      <c r="AH27" s="2088"/>
      <c r="AI27" s="2088"/>
      <c r="AJ27" s="2088"/>
      <c r="AK27" s="1114"/>
    </row>
    <row r="28" spans="1:44" ht="14.25" hidden="1" customHeight="1">
      <c r="Q28" s="304"/>
      <c r="R28" s="304"/>
      <c r="S28" s="1156"/>
      <c r="T28" s="289"/>
      <c r="U28" s="289"/>
      <c r="V28" s="248"/>
      <c r="W28" s="248"/>
      <c r="X28" s="248"/>
      <c r="Y28" s="248"/>
      <c r="Z28" s="248"/>
      <c r="AA28" s="248"/>
      <c r="AB28" s="248"/>
      <c r="AC28" s="248"/>
      <c r="AD28" s="248"/>
      <c r="AE28" s="248"/>
      <c r="AF28" s="248"/>
      <c r="AG28" s="248"/>
      <c r="AH28" s="248"/>
      <c r="AI28" s="248"/>
      <c r="AJ28" s="248"/>
      <c r="AK28" s="248"/>
      <c r="AL28" s="437"/>
    </row>
    <row r="29" spans="1:44" s="1933" customFormat="1" ht="25.5" hidden="1" customHeight="1">
      <c r="A29" s="1247"/>
      <c r="B29" s="1247"/>
      <c r="C29" s="1247"/>
      <c r="D29" s="1247"/>
      <c r="E29" s="1247"/>
      <c r="F29" s="1247"/>
      <c r="G29" s="1247"/>
      <c r="H29" s="1247"/>
      <c r="I29" s="1247"/>
      <c r="J29" s="1247"/>
      <c r="K29" s="1247"/>
      <c r="L29" s="1248"/>
      <c r="M29" s="1247"/>
      <c r="N29" s="1247"/>
      <c r="O29" s="1247"/>
      <c r="S29" s="2213" t="s">
        <v>38</v>
      </c>
      <c r="T29" s="2213"/>
      <c r="U29" s="1251"/>
      <c r="V29" s="2214" t="str">
        <f>IF(TITLE_NAME_OR_PR_CHANGE="",IF(TITLE_NAME_OR_PR="","",TITLE_NAME_OR_PR),TITLE_NAME_OR_PR_CHANGE)</f>
        <v/>
      </c>
      <c r="W29" s="2214"/>
      <c r="X29" s="2214"/>
      <c r="Y29" s="2214"/>
      <c r="Z29" s="2214"/>
      <c r="AA29" s="2214"/>
      <c r="AB29" s="2214"/>
      <c r="AC29" s="253"/>
      <c r="AD29" s="2214" t="str">
        <f>IF(TITLE_NAME_OR_PR_CHANGE="",IF(TITLE_NAME_OR_PR="","",TITLE_NAME_OR_PR),TITLE_NAME_OR_PR_CHANGE)</f>
        <v/>
      </c>
      <c r="AE29" s="2214"/>
      <c r="AF29" s="2214"/>
      <c r="AG29" s="2214"/>
      <c r="AH29" s="2214"/>
      <c r="AI29" s="2214"/>
      <c r="AJ29" s="2214"/>
      <c r="AK29" s="253"/>
      <c r="AL29" s="253"/>
      <c r="AM29" s="199"/>
      <c r="AN29" s="295"/>
      <c r="AO29" s="295"/>
      <c r="AP29" s="295"/>
      <c r="AQ29" s="295"/>
      <c r="AR29" s="295"/>
    </row>
    <row r="30" spans="1:44" s="1933" customFormat="1" ht="18.75" hidden="1" customHeight="1">
      <c r="A30" s="1247"/>
      <c r="B30" s="1247"/>
      <c r="C30" s="1247"/>
      <c r="D30" s="1247"/>
      <c r="E30" s="1247"/>
      <c r="F30" s="1247"/>
      <c r="G30" s="1247"/>
      <c r="H30" s="1247"/>
      <c r="I30" s="1247"/>
      <c r="J30" s="1247"/>
      <c r="K30" s="1247"/>
      <c r="L30" s="1248"/>
      <c r="M30" s="1247"/>
      <c r="N30" s="1247"/>
      <c r="O30" s="1247"/>
      <c r="S30" s="2213" t="s">
        <v>1486</v>
      </c>
      <c r="T30" s="2213"/>
      <c r="U30" s="1251"/>
      <c r="V30" s="2214" t="str">
        <f>IF(TITLE_DATE_CHANGE_PERIOD="",IF(TITLE_DATE_PR="","",TITLE_DATE_PR),TITLE_DATE_CHANGE_PERIOD)</f>
        <v/>
      </c>
      <c r="W30" s="2214"/>
      <c r="X30" s="2214"/>
      <c r="Y30" s="2214"/>
      <c r="Z30" s="2214"/>
      <c r="AA30" s="2214"/>
      <c r="AB30" s="2214"/>
      <c r="AC30" s="253"/>
      <c r="AD30" s="2214" t="str">
        <f>IF(TITLE_DATE_CHANGE_PERIOD="",IF(TITLE_DATE_PR="","",TITLE_DATE_PR),TITLE_DATE_CHANGE_PERIOD)</f>
        <v/>
      </c>
      <c r="AE30" s="2214"/>
      <c r="AF30" s="2214"/>
      <c r="AG30" s="2214"/>
      <c r="AH30" s="2214"/>
      <c r="AI30" s="2214"/>
      <c r="AJ30" s="2214"/>
      <c r="AK30" s="253"/>
      <c r="AL30" s="253"/>
      <c r="AM30" s="199"/>
      <c r="AN30" s="295"/>
      <c r="AO30" s="295"/>
      <c r="AP30" s="295"/>
      <c r="AQ30" s="295"/>
      <c r="AR30" s="295"/>
    </row>
    <row r="31" spans="1:44" s="1933" customFormat="1" ht="18.75" hidden="1" customHeight="1">
      <c r="A31" s="1247"/>
      <c r="B31" s="1247"/>
      <c r="C31" s="1247"/>
      <c r="D31" s="1247"/>
      <c r="E31" s="1247"/>
      <c r="F31" s="1247"/>
      <c r="G31" s="1247"/>
      <c r="H31" s="1247"/>
      <c r="I31" s="1247"/>
      <c r="J31" s="1247"/>
      <c r="K31" s="1247"/>
      <c r="L31" s="1248"/>
      <c r="M31" s="1247"/>
      <c r="N31" s="1247"/>
      <c r="O31" s="1247"/>
      <c r="S31" s="2213" t="s">
        <v>1487</v>
      </c>
      <c r="T31" s="2213"/>
      <c r="U31" s="1251"/>
      <c r="V31" s="2214" t="str">
        <f>IF(TITLE_NUMBER_PR_CHANGE="",IF(TITLE_NUMBER_PR="","",TITLE_NUMBER_PR),TITLE_NUMBER_PR_CHANGE)</f>
        <v/>
      </c>
      <c r="W31" s="2214"/>
      <c r="X31" s="2214"/>
      <c r="Y31" s="2214"/>
      <c r="Z31" s="2214"/>
      <c r="AA31" s="2214"/>
      <c r="AB31" s="2214"/>
      <c r="AC31" s="253"/>
      <c r="AD31" s="2214" t="str">
        <f>IF(TITLE_NUMBER_PR_CHANGE="",IF(TITLE_NUMBER_PR="","",TITLE_NUMBER_PR),TITLE_NUMBER_PR_CHANGE)</f>
        <v/>
      </c>
      <c r="AE31" s="2214"/>
      <c r="AF31" s="2214"/>
      <c r="AG31" s="2214"/>
      <c r="AH31" s="2214"/>
      <c r="AI31" s="2214"/>
      <c r="AJ31" s="2214"/>
      <c r="AK31" s="253"/>
      <c r="AL31" s="253"/>
      <c r="AM31" s="199"/>
      <c r="AN31" s="295"/>
      <c r="AO31" s="295"/>
      <c r="AP31" s="295"/>
      <c r="AQ31" s="295"/>
      <c r="AR31" s="295"/>
    </row>
    <row r="32" spans="1:44" s="1933" customFormat="1" ht="18.75" hidden="1" customHeight="1">
      <c r="A32" s="1247"/>
      <c r="B32" s="1247"/>
      <c r="C32" s="1247"/>
      <c r="D32" s="1247"/>
      <c r="E32" s="1247"/>
      <c r="F32" s="1247"/>
      <c r="G32" s="1247"/>
      <c r="H32" s="1247"/>
      <c r="I32" s="1247"/>
      <c r="J32" s="1247"/>
      <c r="K32" s="1247"/>
      <c r="L32" s="1248"/>
      <c r="M32" s="1247"/>
      <c r="N32" s="1247"/>
      <c r="O32" s="1247"/>
      <c r="S32" s="2213" t="s">
        <v>39</v>
      </c>
      <c r="T32" s="2213"/>
      <c r="U32" s="1251"/>
      <c r="V32" s="2214" t="str">
        <f>IF(TITLE_IST_PUB_CHANGE="",IF(TITLE_IST_PUB="","",TITLE_IST_PUB),TITLE_IST_PUB_CHANGE)</f>
        <v/>
      </c>
      <c r="W32" s="2214"/>
      <c r="X32" s="2214"/>
      <c r="Y32" s="2214"/>
      <c r="Z32" s="2214"/>
      <c r="AA32" s="2214"/>
      <c r="AB32" s="2214"/>
      <c r="AC32" s="253"/>
      <c r="AD32" s="2214" t="str">
        <f>IF(TITLE_IST_PUB_CHANGE="",IF(TITLE_IST_PUB="","",TITLE_IST_PUB),TITLE_IST_PUB_CHANGE)</f>
        <v/>
      </c>
      <c r="AE32" s="2214"/>
      <c r="AF32" s="2214"/>
      <c r="AG32" s="2214"/>
      <c r="AH32" s="2214"/>
      <c r="AI32" s="2214"/>
      <c r="AJ32" s="2214"/>
      <c r="AK32" s="253"/>
      <c r="AL32" s="253"/>
      <c r="AM32" s="199"/>
      <c r="AN32" s="295"/>
      <c r="AO32" s="295"/>
      <c r="AP32" s="295"/>
      <c r="AQ32" s="295"/>
      <c r="AR32" s="295"/>
    </row>
    <row r="33" spans="1:44" ht="14.25" hidden="1" customHeight="1">
      <c r="Q33" s="304"/>
      <c r="R33" s="304"/>
      <c r="S33" s="1156"/>
      <c r="T33" s="289"/>
      <c r="U33" s="289"/>
      <c r="V33" s="248"/>
      <c r="W33" s="248"/>
      <c r="X33" s="248"/>
      <c r="Y33" s="248"/>
      <c r="Z33" s="248"/>
      <c r="AA33" s="248"/>
      <c r="AB33" s="248"/>
      <c r="AC33" s="248"/>
      <c r="AD33" s="248"/>
      <c r="AE33" s="248"/>
      <c r="AF33" s="248"/>
      <c r="AG33" s="248"/>
      <c r="AH33" s="248"/>
      <c r="AI33" s="248"/>
      <c r="AJ33" s="248"/>
      <c r="AK33" s="248"/>
      <c r="AL33" s="437"/>
    </row>
    <row r="34" spans="1:44" s="1933" customFormat="1" ht="18.75" hidden="1" customHeight="1">
      <c r="A34" s="1247"/>
      <c r="B34" s="1247"/>
      <c r="C34" s="1247"/>
      <c r="D34" s="1247"/>
      <c r="E34" s="1247"/>
      <c r="F34" s="1247"/>
      <c r="G34" s="1247"/>
      <c r="H34" s="1247"/>
      <c r="I34" s="1247"/>
      <c r="J34" s="1247"/>
      <c r="K34" s="1247"/>
      <c r="L34" s="1248"/>
      <c r="M34" s="1247"/>
      <c r="N34" s="1247"/>
      <c r="O34" s="1247"/>
      <c r="S34" s="2213" t="s">
        <v>1488</v>
      </c>
      <c r="T34" s="2213"/>
      <c r="U34" s="1251"/>
      <c r="V34" s="2214" t="str">
        <f>IF(TITLE_DATE_CHANGE_PERIOD="",IF(TITLE_DATE_PR="","",TITLE_DATE_PR),TITLE_DATE_CHANGE_PERIOD)</f>
        <v/>
      </c>
      <c r="W34" s="2214"/>
      <c r="X34" s="2214"/>
      <c r="Y34" s="2214"/>
      <c r="Z34" s="2214"/>
      <c r="AA34" s="2214"/>
      <c r="AB34" s="2214"/>
      <c r="AC34" s="253"/>
      <c r="AD34" s="2214" t="str">
        <f>IF(TITLE_DATE_CHANGE_PERIOD="",IF(TITLE_DATE_PR="","",TITLE_DATE_PR),TITLE_DATE_CHANGE_PERIOD)</f>
        <v/>
      </c>
      <c r="AE34" s="2214"/>
      <c r="AF34" s="2214"/>
      <c r="AG34" s="2214"/>
      <c r="AH34" s="2214"/>
      <c r="AI34" s="2214"/>
      <c r="AJ34" s="2214"/>
      <c r="AK34" s="253"/>
      <c r="AL34" s="253"/>
      <c r="AM34" s="199"/>
      <c r="AN34" s="295"/>
      <c r="AO34" s="295"/>
      <c r="AP34" s="295"/>
      <c r="AQ34" s="295"/>
      <c r="AR34" s="295"/>
    </row>
    <row r="35" spans="1:44" s="1933" customFormat="1" ht="18.75" hidden="1" customHeight="1">
      <c r="A35" s="1247"/>
      <c r="B35" s="1247"/>
      <c r="C35" s="1247"/>
      <c r="D35" s="1247"/>
      <c r="E35" s="1247"/>
      <c r="F35" s="1247"/>
      <c r="G35" s="1247"/>
      <c r="H35" s="1247"/>
      <c r="I35" s="1247"/>
      <c r="J35" s="1247"/>
      <c r="K35" s="1247"/>
      <c r="L35" s="1248"/>
      <c r="M35" s="1247"/>
      <c r="N35" s="1247"/>
      <c r="O35" s="1247"/>
      <c r="S35" s="2213" t="s">
        <v>1489</v>
      </c>
      <c r="T35" s="2213"/>
      <c r="U35" s="1251"/>
      <c r="V35" s="2214" t="str">
        <f>IF(TITLE_NUMBER_PR_CHANGE="",IF(TITLE_NUMBER_PR="","",TITLE_NUMBER_PR),TITLE_NUMBER_PR_CHANGE)</f>
        <v/>
      </c>
      <c r="W35" s="2214"/>
      <c r="X35" s="2214"/>
      <c r="Y35" s="2214"/>
      <c r="Z35" s="2214"/>
      <c r="AA35" s="2214"/>
      <c r="AB35" s="2214"/>
      <c r="AC35" s="253"/>
      <c r="AD35" s="2214" t="str">
        <f>IF(TITLE_NUMBER_PR_CHANGE="",IF(TITLE_NUMBER_PR="","",TITLE_NUMBER_PR),TITLE_NUMBER_PR_CHANGE)</f>
        <v/>
      </c>
      <c r="AE35" s="2214"/>
      <c r="AF35" s="2214"/>
      <c r="AG35" s="2214"/>
      <c r="AH35" s="2214"/>
      <c r="AI35" s="2214"/>
      <c r="AJ35" s="2214"/>
      <c r="AK35" s="253"/>
      <c r="AL35" s="253"/>
      <c r="AM35" s="199"/>
      <c r="AN35" s="295"/>
      <c r="AO35" s="295"/>
      <c r="AP35" s="295"/>
      <c r="AQ35" s="295"/>
      <c r="AR35" s="295"/>
    </row>
    <row r="36" spans="1:44" s="1933" customFormat="1" ht="0" hidden="1" customHeight="1">
      <c r="A36" s="1247"/>
      <c r="B36" s="1247"/>
      <c r="C36" s="1247"/>
      <c r="D36" s="1247"/>
      <c r="E36" s="1247"/>
      <c r="F36" s="1247"/>
      <c r="G36" s="1247"/>
      <c r="H36" s="1247"/>
      <c r="I36" s="1247"/>
      <c r="J36" s="1247"/>
      <c r="K36" s="1247"/>
      <c r="L36" s="1248"/>
      <c r="M36" s="1247"/>
      <c r="N36" s="1247"/>
      <c r="O36" s="1247"/>
      <c r="S36" s="250"/>
      <c r="T36" s="250"/>
      <c r="U36" s="1223"/>
      <c r="V36" s="253"/>
      <c r="W36" s="253"/>
      <c r="X36" s="253"/>
      <c r="Y36" s="253"/>
      <c r="Z36" s="253"/>
      <c r="AA36" s="253"/>
      <c r="AB36" s="253"/>
      <c r="AC36" s="197" t="s">
        <v>1490</v>
      </c>
      <c r="AD36" s="253"/>
      <c r="AE36" s="253"/>
      <c r="AF36" s="253"/>
      <c r="AG36" s="253"/>
      <c r="AH36" s="253"/>
      <c r="AI36" s="253"/>
      <c r="AJ36" s="253"/>
      <c r="AK36" s="197" t="s">
        <v>1490</v>
      </c>
      <c r="AN36" s="295"/>
      <c r="AO36" s="295"/>
      <c r="AP36" s="295"/>
      <c r="AQ36" s="295"/>
      <c r="AR36" s="295"/>
    </row>
    <row r="37" spans="1:44" ht="14.25" customHeight="1">
      <c r="Q37" s="304"/>
      <c r="R37" s="304"/>
      <c r="S37" s="1156"/>
      <c r="T37" s="289"/>
      <c r="U37" s="1115"/>
      <c r="V37" s="2232"/>
      <c r="W37" s="2232"/>
      <c r="X37" s="2232"/>
      <c r="Y37" s="2232"/>
      <c r="Z37" s="2232"/>
      <c r="AA37" s="2232"/>
      <c r="AB37" s="2232"/>
      <c r="AC37" s="2232"/>
      <c r="AD37" s="2232"/>
      <c r="AE37" s="2232"/>
      <c r="AF37" s="2232"/>
      <c r="AG37" s="2232"/>
      <c r="AH37" s="2232"/>
      <c r="AI37" s="2232"/>
      <c r="AJ37" s="2232"/>
      <c r="AK37" s="2232"/>
    </row>
    <row r="38" spans="1:44" ht="14.25" customHeight="1">
      <c r="Q38" s="304"/>
      <c r="R38" s="304"/>
      <c r="S38" s="2007" t="s">
        <v>292</v>
      </c>
      <c r="T38" s="2007"/>
      <c r="U38" s="2007"/>
      <c r="V38" s="2007"/>
      <c r="W38" s="2007"/>
      <c r="X38" s="2007"/>
      <c r="Y38" s="2007"/>
      <c r="Z38" s="2007"/>
      <c r="AA38" s="2007"/>
      <c r="AB38" s="2007"/>
      <c r="AC38" s="2007"/>
      <c r="AD38" s="2007"/>
      <c r="AE38" s="2007"/>
      <c r="AF38" s="2007"/>
      <c r="AG38" s="2007"/>
      <c r="AH38" s="2007"/>
      <c r="AI38" s="2007"/>
      <c r="AJ38" s="2007"/>
      <c r="AK38" s="2007"/>
      <c r="AL38" s="2007"/>
      <c r="AM38" s="2007" t="s">
        <v>293</v>
      </c>
    </row>
    <row r="39" spans="1:44" ht="14.25" customHeight="1">
      <c r="Q39" s="304"/>
      <c r="R39" s="304"/>
      <c r="S39" s="2233" t="s">
        <v>87</v>
      </c>
      <c r="T39" s="2097" t="s">
        <v>1491</v>
      </c>
      <c r="U39" s="219"/>
      <c r="V39" s="2234" t="s">
        <v>1492</v>
      </c>
      <c r="W39" s="2235"/>
      <c r="X39" s="2248"/>
      <c r="Y39" s="2248"/>
      <c r="Z39" s="2235"/>
      <c r="AA39" s="2235"/>
      <c r="AB39" s="2236"/>
      <c r="AC39" s="2237" t="s">
        <v>1493</v>
      </c>
      <c r="AD39" s="2234" t="s">
        <v>1492</v>
      </c>
      <c r="AE39" s="2235"/>
      <c r="AF39" s="2248"/>
      <c r="AG39" s="2248"/>
      <c r="AH39" s="2235"/>
      <c r="AI39" s="2235"/>
      <c r="AJ39" s="2236"/>
      <c r="AK39" s="2237" t="s">
        <v>1494</v>
      </c>
      <c r="AL39" s="2240" t="s">
        <v>1495</v>
      </c>
      <c r="AM39" s="2007"/>
    </row>
    <row r="40" spans="1:44" ht="23.25" customHeight="1">
      <c r="Q40" s="304"/>
      <c r="R40" s="304"/>
      <c r="S40" s="2233"/>
      <c r="T40" s="2097"/>
      <c r="U40" s="924"/>
      <c r="V40" s="2246" t="s">
        <v>1496</v>
      </c>
      <c r="W40" s="2067" t="s">
        <v>1497</v>
      </c>
      <c r="X40" s="1255" t="s">
        <v>1498</v>
      </c>
      <c r="Y40" s="1255"/>
      <c r="Z40" s="1994" t="s">
        <v>1499</v>
      </c>
      <c r="AA40" s="1994"/>
      <c r="AB40" s="1988"/>
      <c r="AC40" s="2238"/>
      <c r="AD40" s="2246" t="s">
        <v>1496</v>
      </c>
      <c r="AE40" s="2067" t="s">
        <v>1497</v>
      </c>
      <c r="AF40" s="1255" t="s">
        <v>1498</v>
      </c>
      <c r="AG40" s="1255"/>
      <c r="AH40" s="1994" t="s">
        <v>1499</v>
      </c>
      <c r="AI40" s="1994"/>
      <c r="AJ40" s="1988"/>
      <c r="AK40" s="2238"/>
      <c r="AL40" s="2241"/>
      <c r="AM40" s="2007"/>
    </row>
    <row r="41" spans="1:44" s="1918" customFormat="1" ht="23.25" customHeight="1">
      <c r="A41" s="1249"/>
      <c r="B41" s="1249" t="s">
        <v>136</v>
      </c>
      <c r="C41" s="1249" t="s">
        <v>137</v>
      </c>
      <c r="D41" s="1249" t="s">
        <v>138</v>
      </c>
      <c r="E41" s="1243" t="s">
        <v>1500</v>
      </c>
      <c r="F41" s="1243" t="s">
        <v>1501</v>
      </c>
      <c r="G41" s="1243" t="s">
        <v>1502</v>
      </c>
      <c r="H41" s="1243" t="s">
        <v>1503</v>
      </c>
      <c r="I41" s="1243" t="s">
        <v>1504</v>
      </c>
      <c r="J41" s="1243" t="s">
        <v>1505</v>
      </c>
      <c r="K41" s="1243" t="s">
        <v>1506</v>
      </c>
      <c r="L41" s="1243" t="s">
        <v>1481</v>
      </c>
      <c r="M41" s="1241"/>
      <c r="N41" s="1241"/>
      <c r="O41" s="1241"/>
      <c r="P41" s="1211"/>
      <c r="Q41" s="304"/>
      <c r="R41" s="304"/>
      <c r="S41" s="2233"/>
      <c r="T41" s="2097"/>
      <c r="U41" s="220"/>
      <c r="V41" s="2247"/>
      <c r="W41" s="2072"/>
      <c r="X41" s="1252" t="s">
        <v>1507</v>
      </c>
      <c r="Y41" s="1252" t="s">
        <v>1508</v>
      </c>
      <c r="Z41" s="1217" t="s">
        <v>1509</v>
      </c>
      <c r="AA41" s="2103" t="s">
        <v>1510</v>
      </c>
      <c r="AB41" s="2117"/>
      <c r="AC41" s="2239"/>
      <c r="AD41" s="2247"/>
      <c r="AE41" s="2072"/>
      <c r="AF41" s="1252" t="s">
        <v>1507</v>
      </c>
      <c r="AG41" s="1252" t="s">
        <v>1508</v>
      </c>
      <c r="AH41" s="1217" t="s">
        <v>1509</v>
      </c>
      <c r="AI41" s="2103" t="s">
        <v>1510</v>
      </c>
      <c r="AJ41" s="2117"/>
      <c r="AK41" s="2239"/>
      <c r="AL41" s="2242"/>
      <c r="AM41" s="2007"/>
      <c r="AN41" s="439"/>
      <c r="AO41" s="428"/>
      <c r="AP41" s="428"/>
      <c r="AQ41" s="428"/>
      <c r="AR41" s="428"/>
    </row>
    <row r="42" spans="1:44" s="1708" customFormat="1" ht="11.25" hidden="1" customHeight="1">
      <c r="A42" s="1249"/>
      <c r="B42" s="1249"/>
      <c r="C42" s="1249"/>
      <c r="D42" s="1249"/>
      <c r="E42" s="1249"/>
      <c r="F42" s="1249"/>
      <c r="G42" s="1249"/>
      <c r="H42" s="1249"/>
      <c r="I42" s="1249"/>
      <c r="J42" s="1249"/>
      <c r="K42" s="1249"/>
      <c r="L42" s="1243"/>
      <c r="M42" s="1241"/>
      <c r="N42" s="1241"/>
      <c r="O42" s="1241"/>
      <c r="P42" s="1117"/>
      <c r="Q42" s="1118"/>
      <c r="R42" s="1133">
        <v>1</v>
      </c>
      <c r="S42" s="1158" t="s">
        <v>108</v>
      </c>
      <c r="T42" s="1134" t="s">
        <v>109</v>
      </c>
      <c r="U42" s="1116" t="str">
        <f ca="1">OFFSET(U42,0,-1)</f>
        <v>2</v>
      </c>
      <c r="V42" s="1218">
        <f ca="1">OFFSET(V42,0,-1)+1</f>
        <v>3</v>
      </c>
      <c r="W42" s="1218"/>
      <c r="X42" s="1224">
        <f ca="1">OFFSET(X42,0,-1)+1</f>
        <v>1</v>
      </c>
      <c r="Y42" s="1224">
        <f ca="1">OFFSET(Y42,0,-1)+1</f>
        <v>2</v>
      </c>
      <c r="Z42" s="1218">
        <f ca="1">OFFSET(Z42,0,-1)+1</f>
        <v>3</v>
      </c>
      <c r="AA42" s="2231">
        <f ca="1">OFFSET(AA42,0,-1)+1</f>
        <v>4</v>
      </c>
      <c r="AB42" s="2231"/>
      <c r="AC42" s="1218">
        <f ca="1">OFFSET(AC42,0,-2)+1</f>
        <v>5</v>
      </c>
      <c r="AD42" s="1218">
        <f ca="1">OFFSET(AD42,0,-1)+1</f>
        <v>6</v>
      </c>
      <c r="AE42" s="1218"/>
      <c r="AF42" s="1224">
        <f ca="1">OFFSET(AF42,0,-1)+1</f>
        <v>1</v>
      </c>
      <c r="AG42" s="1224">
        <f ca="1">OFFSET(AG42,0,-1)+1</f>
        <v>2</v>
      </c>
      <c r="AH42" s="1218">
        <f ca="1">OFFSET(AH42,0,-1)+1</f>
        <v>3</v>
      </c>
      <c r="AI42" s="2231">
        <f ca="1">OFFSET(AI42,0,-1)+1</f>
        <v>4</v>
      </c>
      <c r="AJ42" s="2231"/>
      <c r="AK42" s="1218">
        <f ca="1">OFFSET(AK42,0,-2)+1</f>
        <v>5</v>
      </c>
      <c r="AL42" s="1116">
        <f ca="1">OFFSET(AL42,0,-1)</f>
        <v>5</v>
      </c>
      <c r="AM42" s="1218">
        <f ca="1">OFFSET(AM42,0,-1)+1</f>
        <v>6</v>
      </c>
      <c r="AN42" s="439"/>
      <c r="AO42" s="439"/>
      <c r="AP42" s="439"/>
      <c r="AQ42" s="439"/>
      <c r="AR42" s="439"/>
    </row>
    <row r="43" spans="1:44" ht="21" customHeight="1">
      <c r="A43" s="1242" t="s">
        <v>198</v>
      </c>
      <c r="B43" s="1242"/>
      <c r="C43" s="1242"/>
      <c r="D43" s="1242"/>
      <c r="E43" s="2221">
        <v>1</v>
      </c>
      <c r="F43" s="1242"/>
      <c r="G43" s="1242"/>
      <c r="H43" s="1242"/>
      <c r="I43" s="1242"/>
      <c r="J43" s="1242"/>
      <c r="K43" s="1242"/>
      <c r="L43" s="1243"/>
      <c r="M43" s="1244"/>
      <c r="N43" s="1244"/>
      <c r="O43" s="1244"/>
      <c r="P43" s="285"/>
      <c r="Q43" s="284"/>
      <c r="R43" s="279"/>
      <c r="S43" s="1219">
        <f>INDEX(PT_DIFFERENTIATION_NUM_NTAR,MATCH(A43,PT_DIFFERENTIATION_NTAR_ID,0))</f>
        <v>0</v>
      </c>
      <c r="T43" s="216" t="s">
        <v>124</v>
      </c>
      <c r="U43" s="218"/>
      <c r="V43" s="2215"/>
      <c r="W43" s="2216"/>
      <c r="X43" s="2216"/>
      <c r="Y43" s="2216"/>
      <c r="Z43" s="2216"/>
      <c r="AA43" s="2216"/>
      <c r="AB43" s="2216"/>
      <c r="AC43" s="2217"/>
      <c r="AD43" s="2215" t="str">
        <f>INDEX(PT_DIFFERENTIATION_NTAR,MATCH(A43,PT_DIFFERENTIATION_NTAR_ID,0))</f>
        <v/>
      </c>
      <c r="AE43" s="2216"/>
      <c r="AF43" s="2216"/>
      <c r="AG43" s="2216"/>
      <c r="AH43" s="2216"/>
      <c r="AI43" s="2216"/>
      <c r="AJ43" s="2216"/>
      <c r="AK43" s="2216"/>
      <c r="AL43" s="2217"/>
      <c r="AM43" s="1138" t="s">
        <v>1462</v>
      </c>
      <c r="AO43" s="428"/>
      <c r="AP43" s="428" t="str">
        <f t="shared" ref="AP43:AP57" si="1">IF(T43="","",T43)</f>
        <v>Наименование тарифа</v>
      </c>
      <c r="AQ43" s="428"/>
      <c r="AR43" s="428"/>
    </row>
    <row r="44" spans="1:44" ht="21" customHeight="1">
      <c r="A44" s="1242" t="s">
        <v>198</v>
      </c>
      <c r="B44" s="1242" t="s">
        <v>199</v>
      </c>
      <c r="C44" s="1242"/>
      <c r="D44" s="1242"/>
      <c r="E44" s="2222"/>
      <c r="F44" s="2221">
        <v>1</v>
      </c>
      <c r="G44" s="1242"/>
      <c r="H44" s="1242"/>
      <c r="I44" s="1242"/>
      <c r="J44" s="1242"/>
      <c r="K44" s="1242"/>
      <c r="L44" s="1243"/>
      <c r="M44" s="1244"/>
      <c r="N44" s="1244"/>
      <c r="O44" s="1244"/>
      <c r="P44" s="1215"/>
      <c r="Q44" s="276"/>
      <c r="R44" s="277"/>
      <c r="S44" s="1219" t="str">
        <f>INDEX(PT_DIFFERENTIATION_NUM_TER,MATCH(B44,PT_DIFFERENTIATION_TER_ID,0))</f>
        <v>.</v>
      </c>
      <c r="T44" s="228" t="s">
        <v>1463</v>
      </c>
      <c r="U44" s="218"/>
      <c r="V44" s="2215"/>
      <c r="W44" s="2216"/>
      <c r="X44" s="2216"/>
      <c r="Y44" s="2216"/>
      <c r="Z44" s="2216"/>
      <c r="AA44" s="2216"/>
      <c r="AB44" s="2216"/>
      <c r="AC44" s="2217"/>
      <c r="AD44" s="2215" t="str">
        <f>INDEX(PT_DIFFERENTIATION_TER,MATCH(B44,PT_DIFFERENTIATION_TER_ID,0))</f>
        <v/>
      </c>
      <c r="AE44" s="2216"/>
      <c r="AF44" s="2216"/>
      <c r="AG44" s="2216"/>
      <c r="AH44" s="2216"/>
      <c r="AI44" s="2216"/>
      <c r="AJ44" s="2216"/>
      <c r="AK44" s="2216"/>
      <c r="AL44" s="2217"/>
      <c r="AM44" s="1138" t="s">
        <v>1464</v>
      </c>
      <c r="AO44" s="428"/>
      <c r="AP44" s="428" t="str">
        <f t="shared" si="1"/>
        <v>Территория действия тарифа</v>
      </c>
      <c r="AQ44" s="428"/>
      <c r="AR44" s="428"/>
    </row>
    <row r="45" spans="1:44" ht="23.25" customHeight="1">
      <c r="A45" s="1242" t="s">
        <v>198</v>
      </c>
      <c r="B45" s="1242" t="s">
        <v>199</v>
      </c>
      <c r="C45" s="1242" t="s">
        <v>200</v>
      </c>
      <c r="D45" s="1242"/>
      <c r="E45" s="2222"/>
      <c r="F45" s="2222"/>
      <c r="G45" s="2221">
        <v>1</v>
      </c>
      <c r="H45" s="1242"/>
      <c r="I45" s="1242"/>
      <c r="J45" s="1242"/>
      <c r="K45" s="1242"/>
      <c r="L45" s="1243"/>
      <c r="M45" s="1244"/>
      <c r="N45" s="1244"/>
      <c r="O45" s="1244"/>
      <c r="P45" s="278"/>
      <c r="Q45" s="276"/>
      <c r="R45" s="277"/>
      <c r="S45" s="1219" t="str">
        <f>INDEX(PT_DIFFERENTIATION_NUM_CS,MATCH(C45,PT_DIFFERENTIATION_CS_ID,0))</f>
        <v>..</v>
      </c>
      <c r="T45" s="229" t="s">
        <v>1465</v>
      </c>
      <c r="U45" s="218"/>
      <c r="V45" s="2215"/>
      <c r="W45" s="2216"/>
      <c r="X45" s="2216"/>
      <c r="Y45" s="2216"/>
      <c r="Z45" s="2216"/>
      <c r="AA45" s="2216"/>
      <c r="AB45" s="2216"/>
      <c r="AC45" s="2217"/>
      <c r="AD45" s="2215" t="str">
        <f>INDEX(PT_DIFFERENTIATION_CS,MATCH(C45,PT_DIFFERENTIATION_CS_ID,0))</f>
        <v/>
      </c>
      <c r="AE45" s="2216"/>
      <c r="AF45" s="2216"/>
      <c r="AG45" s="2216"/>
      <c r="AH45" s="2216"/>
      <c r="AI45" s="2216"/>
      <c r="AJ45" s="2216"/>
      <c r="AK45" s="2216"/>
      <c r="AL45" s="2217"/>
      <c r="AM45" s="1138" t="s">
        <v>1466</v>
      </c>
      <c r="AO45" s="428"/>
      <c r="AP45" s="428" t="str">
        <f t="shared" si="1"/>
        <v xml:space="preserve">Наименование системы теплоснабжения </v>
      </c>
      <c r="AQ45" s="428"/>
      <c r="AR45" s="428"/>
    </row>
    <row r="46" spans="1:44" ht="21" customHeight="1">
      <c r="A46" s="1242" t="s">
        <v>198</v>
      </c>
      <c r="B46" s="1242" t="s">
        <v>199</v>
      </c>
      <c r="C46" s="1242" t="s">
        <v>200</v>
      </c>
      <c r="D46" s="1242" t="s">
        <v>201</v>
      </c>
      <c r="E46" s="2222"/>
      <c r="F46" s="2222"/>
      <c r="G46" s="2222"/>
      <c r="H46" s="2221">
        <v>1</v>
      </c>
      <c r="I46" s="1242"/>
      <c r="J46" s="1242"/>
      <c r="K46" s="1242"/>
      <c r="L46" s="1243"/>
      <c r="M46" s="1244"/>
      <c r="N46" s="1244"/>
      <c r="O46" s="1244"/>
      <c r="P46" s="278"/>
      <c r="Q46" s="276"/>
      <c r="R46" s="277"/>
      <c r="S46" s="1219" t="str">
        <f>INDEX(PT_DIFFERENTIATION_NUM_IST_TE,MATCH(D46,PT_DIFFERENTIATION_IST_TE_ID,0))</f>
        <v>...</v>
      </c>
      <c r="T46" s="230" t="s">
        <v>1467</v>
      </c>
      <c r="U46" s="218"/>
      <c r="V46" s="2215"/>
      <c r="W46" s="2216"/>
      <c r="X46" s="2216"/>
      <c r="Y46" s="2216"/>
      <c r="Z46" s="2216"/>
      <c r="AA46" s="2216"/>
      <c r="AB46" s="2216"/>
      <c r="AC46" s="2217"/>
      <c r="AD46" s="2215" t="str">
        <f>INDEX(PT_DIFFERENTIATION_IST_TE,MATCH(D46,PT_DIFFERENTIATION_IST_TE_ID,0))</f>
        <v/>
      </c>
      <c r="AE46" s="2216"/>
      <c r="AF46" s="2216"/>
      <c r="AG46" s="2216"/>
      <c r="AH46" s="2216"/>
      <c r="AI46" s="2216"/>
      <c r="AJ46" s="2216"/>
      <c r="AK46" s="2216"/>
      <c r="AL46" s="2217"/>
      <c r="AM46" s="1138" t="s">
        <v>1468</v>
      </c>
      <c r="AO46" s="428"/>
      <c r="AP46" s="428" t="str">
        <f t="shared" si="1"/>
        <v xml:space="preserve">Источник тепловой энергии  </v>
      </c>
      <c r="AQ46" s="428"/>
      <c r="AR46" s="428"/>
    </row>
    <row r="47" spans="1:44" ht="47.25" customHeight="1">
      <c r="A47" s="1242" t="s">
        <v>198</v>
      </c>
      <c r="B47" s="1242" t="s">
        <v>199</v>
      </c>
      <c r="C47" s="1242" t="s">
        <v>200</v>
      </c>
      <c r="D47" s="1242" t="s">
        <v>201</v>
      </c>
      <c r="E47" s="2222"/>
      <c r="F47" s="2222"/>
      <c r="G47" s="2222"/>
      <c r="H47" s="2222"/>
      <c r="I47" s="2223" t="str">
        <f>S46&amp;".1"</f>
        <v>....1</v>
      </c>
      <c r="J47" s="1242"/>
      <c r="K47" s="1242"/>
      <c r="L47" s="1243" t="s">
        <v>1469</v>
      </c>
      <c r="P47" s="2143">
        <v>1</v>
      </c>
      <c r="Q47" s="1214"/>
      <c r="R47" s="280"/>
      <c r="S47" s="1219" t="str">
        <f>$I47</f>
        <v>....1</v>
      </c>
      <c r="T47" s="203" t="s">
        <v>1470</v>
      </c>
      <c r="U47" s="218"/>
      <c r="V47" s="2210"/>
      <c r="W47" s="2211"/>
      <c r="X47" s="2211"/>
      <c r="Y47" s="2211"/>
      <c r="Z47" s="2211"/>
      <c r="AA47" s="2211"/>
      <c r="AB47" s="2211"/>
      <c r="AC47" s="2212"/>
      <c r="AD47" s="2210"/>
      <c r="AE47" s="2211"/>
      <c r="AF47" s="2211"/>
      <c r="AG47" s="2211"/>
      <c r="AH47" s="2211"/>
      <c r="AI47" s="2211"/>
      <c r="AJ47" s="2211"/>
      <c r="AK47" s="2211"/>
      <c r="AL47" s="2212"/>
      <c r="AM47" s="1138" t="s">
        <v>1471</v>
      </c>
      <c r="AO47" s="428"/>
      <c r="AP47" s="428" t="str">
        <f t="shared" si="1"/>
        <v>Схема подключения теплопотребляющей установки к коллектору источника тепловой энергии</v>
      </c>
      <c r="AQ47" s="428"/>
      <c r="AR47" s="428"/>
    </row>
    <row r="48" spans="1:44" ht="21" customHeight="1">
      <c r="A48" s="1242" t="s">
        <v>198</v>
      </c>
      <c r="B48" s="1242" t="s">
        <v>199</v>
      </c>
      <c r="C48" s="1242" t="s">
        <v>200</v>
      </c>
      <c r="D48" s="1242" t="s">
        <v>201</v>
      </c>
      <c r="E48" s="2222"/>
      <c r="F48" s="2222"/>
      <c r="G48" s="2222"/>
      <c r="H48" s="2222"/>
      <c r="I48" s="2224"/>
      <c r="J48" s="2223" t="str">
        <f>I47&amp;".1"</f>
        <v>....1.1</v>
      </c>
      <c r="K48" s="1242"/>
      <c r="L48" s="1243" t="s">
        <v>1472</v>
      </c>
      <c r="P48" s="2143"/>
      <c r="Q48" s="2143">
        <v>1</v>
      </c>
      <c r="R48" s="281"/>
      <c r="S48" s="1219" t="str">
        <f>$J48</f>
        <v>....1.1</v>
      </c>
      <c r="T48" s="204" t="s">
        <v>1473</v>
      </c>
      <c r="U48" s="218"/>
      <c r="V48" s="2210"/>
      <c r="W48" s="2211"/>
      <c r="X48" s="2211"/>
      <c r="Y48" s="2211"/>
      <c r="Z48" s="2211"/>
      <c r="AA48" s="2211"/>
      <c r="AB48" s="2211"/>
      <c r="AC48" s="2212"/>
      <c r="AD48" s="2210"/>
      <c r="AE48" s="2211"/>
      <c r="AF48" s="2211"/>
      <c r="AG48" s="2211"/>
      <c r="AH48" s="2211"/>
      <c r="AI48" s="2211"/>
      <c r="AJ48" s="2211"/>
      <c r="AK48" s="2211"/>
      <c r="AL48" s="2212"/>
      <c r="AM48" s="1138" t="s">
        <v>1474</v>
      </c>
      <c r="AO48" s="428"/>
      <c r="AP48" s="428" t="str">
        <f t="shared" si="1"/>
        <v>Группа потребителей</v>
      </c>
      <c r="AQ48" s="428"/>
      <c r="AR48" s="428"/>
    </row>
    <row r="49" spans="1:44" ht="21" customHeight="1">
      <c r="A49" s="1242" t="s">
        <v>198</v>
      </c>
      <c r="B49" s="1242" t="s">
        <v>199</v>
      </c>
      <c r="C49" s="1242" t="s">
        <v>200</v>
      </c>
      <c r="D49" s="1242" t="s">
        <v>201</v>
      </c>
      <c r="E49" s="2222"/>
      <c r="F49" s="2222"/>
      <c r="G49" s="2222"/>
      <c r="H49" s="2222"/>
      <c r="I49" s="2224"/>
      <c r="J49" s="2224"/>
      <c r="K49" s="2223" t="str">
        <f>J48&amp;".1"</f>
        <v>....1.1.1</v>
      </c>
      <c r="L49" s="1243" t="s">
        <v>1475</v>
      </c>
      <c r="P49" s="2143"/>
      <c r="Q49" s="2143"/>
      <c r="R49" s="281">
        <v>1</v>
      </c>
      <c r="S49" s="1219" t="str">
        <f>$K49</f>
        <v>....1.1.1</v>
      </c>
      <c r="T49" s="1230"/>
      <c r="U49" s="218"/>
      <c r="V49" s="1665"/>
      <c r="W49" s="1664"/>
      <c r="X49" s="1665"/>
      <c r="Y49" s="1675"/>
      <c r="Z49" s="2225"/>
      <c r="AA49" s="2017" t="s">
        <v>62</v>
      </c>
      <c r="AB49" s="2225"/>
      <c r="AC49" s="2017" t="s">
        <v>62</v>
      </c>
      <c r="AD49" s="1665"/>
      <c r="AE49" s="1664"/>
      <c r="AF49" s="1665"/>
      <c r="AG49" s="1675"/>
      <c r="AH49" s="2225"/>
      <c r="AI49" s="2017" t="s">
        <v>62</v>
      </c>
      <c r="AJ49" s="2227"/>
      <c r="AK49" s="2017" t="s">
        <v>62</v>
      </c>
      <c r="AL49" s="1672"/>
      <c r="AM49" s="2243" t="s">
        <v>1476</v>
      </c>
      <c r="AN49" s="439" t="e">
        <f ca="1">STRCHECKDATE(V50:AL50)</f>
        <v>#NAME?</v>
      </c>
      <c r="AO49" s="428"/>
      <c r="AP49" s="428" t="str">
        <f t="shared" si="1"/>
        <v/>
      </c>
      <c r="AQ49" s="428"/>
      <c r="AR49" s="428"/>
    </row>
    <row r="50" spans="1:44" ht="0.75" customHeight="1">
      <c r="A50" s="1242" t="s">
        <v>198</v>
      </c>
      <c r="B50" s="1242" t="s">
        <v>199</v>
      </c>
      <c r="C50" s="1242" t="s">
        <v>200</v>
      </c>
      <c r="D50" s="1242" t="s">
        <v>201</v>
      </c>
      <c r="E50" s="2222"/>
      <c r="F50" s="2222"/>
      <c r="G50" s="2222"/>
      <c r="H50" s="2222"/>
      <c r="I50" s="2224"/>
      <c r="J50" s="2224"/>
      <c r="K50" s="2223"/>
      <c r="L50" s="1243"/>
      <c r="P50" s="2143"/>
      <c r="Q50" s="2143"/>
      <c r="R50" s="281"/>
      <c r="S50" s="1225"/>
      <c r="T50" s="218"/>
      <c r="U50" s="218"/>
      <c r="V50" s="1665"/>
      <c r="W50" s="1665"/>
      <c r="X50" s="1665"/>
      <c r="Y50" s="1667" t="str">
        <f>Z49&amp;"-"&amp;AB49</f>
        <v>-</v>
      </c>
      <c r="Z50" s="2226"/>
      <c r="AA50" s="2017"/>
      <c r="AB50" s="2226"/>
      <c r="AC50" s="2017"/>
      <c r="AD50" s="1665"/>
      <c r="AE50" s="1665"/>
      <c r="AF50" s="1665"/>
      <c r="AG50" s="1667" t="str">
        <f>AH49&amp;"-"&amp;AJ49</f>
        <v>-</v>
      </c>
      <c r="AH50" s="2226"/>
      <c r="AI50" s="2017"/>
      <c r="AJ50" s="2228"/>
      <c r="AK50" s="2017"/>
      <c r="AL50" s="1673"/>
      <c r="AM50" s="2244"/>
      <c r="AO50" s="428"/>
      <c r="AP50" s="428" t="str">
        <f t="shared" si="1"/>
        <v/>
      </c>
      <c r="AQ50" s="428"/>
      <c r="AR50" s="428"/>
    </row>
    <row r="51" spans="1:44" ht="11.25" customHeight="1">
      <c r="A51" s="1242" t="s">
        <v>198</v>
      </c>
      <c r="B51" s="1242" t="s">
        <v>199</v>
      </c>
      <c r="C51" s="1242" t="s">
        <v>200</v>
      </c>
      <c r="D51" s="1242" t="s">
        <v>201</v>
      </c>
      <c r="E51" s="2222"/>
      <c r="F51" s="2222"/>
      <c r="G51" s="2222"/>
      <c r="H51" s="2222"/>
      <c r="I51" s="2224"/>
      <c r="J51" s="2223"/>
      <c r="K51" s="1242"/>
      <c r="L51" s="1243"/>
      <c r="P51" s="2143"/>
      <c r="Q51" s="2143"/>
      <c r="R51" s="280"/>
      <c r="S51" s="1159"/>
      <c r="T51" s="206" t="s">
        <v>1477</v>
      </c>
      <c r="U51" s="294"/>
      <c r="V51" s="294"/>
      <c r="W51" s="294"/>
      <c r="X51" s="294"/>
      <c r="Y51" s="294"/>
      <c r="Z51" s="294"/>
      <c r="AA51" s="294"/>
      <c r="AB51" s="294"/>
      <c r="AC51" s="294"/>
      <c r="AD51" s="294"/>
      <c r="AE51" s="294"/>
      <c r="AF51" s="294"/>
      <c r="AG51" s="294"/>
      <c r="AH51" s="294"/>
      <c r="AI51" s="294"/>
      <c r="AJ51" s="294"/>
      <c r="AK51" s="294"/>
      <c r="AL51" s="251"/>
      <c r="AM51" s="2245"/>
      <c r="AO51" s="428"/>
      <c r="AP51" s="428" t="str">
        <f t="shared" si="1"/>
        <v>Добавить вид теплоносителя (параметры теплоносителя)</v>
      </c>
      <c r="AQ51" s="428"/>
      <c r="AR51" s="428"/>
    </row>
    <row r="52" spans="1:44" ht="11.25" customHeight="1">
      <c r="A52" s="1242" t="s">
        <v>198</v>
      </c>
      <c r="B52" s="1242" t="s">
        <v>199</v>
      </c>
      <c r="C52" s="1242" t="s">
        <v>200</v>
      </c>
      <c r="D52" s="1242" t="s">
        <v>201</v>
      </c>
      <c r="E52" s="2222"/>
      <c r="F52" s="2222"/>
      <c r="G52" s="2222"/>
      <c r="H52" s="2222"/>
      <c r="I52" s="2223"/>
      <c r="J52" s="1242"/>
      <c r="K52" s="1242"/>
      <c r="L52" s="1243"/>
      <c r="P52" s="2143"/>
      <c r="Q52" s="1214"/>
      <c r="R52" s="280"/>
      <c r="S52" s="1159"/>
      <c r="T52" s="205" t="s">
        <v>1478</v>
      </c>
      <c r="U52" s="294"/>
      <c r="V52" s="294"/>
      <c r="W52" s="294"/>
      <c r="X52" s="294"/>
      <c r="Y52" s="294"/>
      <c r="Z52" s="294"/>
      <c r="AA52" s="294"/>
      <c r="AB52" s="294"/>
      <c r="AC52" s="293"/>
      <c r="AD52" s="294"/>
      <c r="AE52" s="294"/>
      <c r="AF52" s="294"/>
      <c r="AG52" s="294"/>
      <c r="AH52" s="294"/>
      <c r="AI52" s="294"/>
      <c r="AJ52" s="294"/>
      <c r="AK52" s="293"/>
      <c r="AL52" s="294"/>
      <c r="AM52" s="221"/>
      <c r="AO52" s="428"/>
      <c r="AP52" s="428" t="str">
        <f t="shared" si="1"/>
        <v>Добавить группу потребителей</v>
      </c>
      <c r="AQ52" s="428"/>
      <c r="AR52" s="428"/>
    </row>
    <row r="53" spans="1:44" ht="14.25" customHeight="1">
      <c r="A53" s="1242" t="s">
        <v>198</v>
      </c>
      <c r="B53" s="1242" t="s">
        <v>199</v>
      </c>
      <c r="C53" s="1242" t="s">
        <v>200</v>
      </c>
      <c r="D53" s="1242" t="s">
        <v>201</v>
      </c>
      <c r="E53" s="2222"/>
      <c r="F53" s="2222"/>
      <c r="G53" s="2222"/>
      <c r="H53" s="2221"/>
      <c r="I53" s="1242"/>
      <c r="J53" s="1242"/>
      <c r="K53" s="1242"/>
      <c r="L53" s="1243"/>
      <c r="M53" s="1244"/>
      <c r="N53" s="1244"/>
      <c r="O53" s="464"/>
      <c r="P53" s="284"/>
      <c r="Q53" s="303"/>
      <c r="R53" s="279"/>
      <c r="S53" s="1159"/>
      <c r="T53" s="291" t="s">
        <v>1479</v>
      </c>
      <c r="U53" s="294"/>
      <c r="V53" s="294"/>
      <c r="W53" s="294"/>
      <c r="X53" s="294"/>
      <c r="Y53" s="294"/>
      <c r="Z53" s="294"/>
      <c r="AA53" s="294"/>
      <c r="AB53" s="294"/>
      <c r="AC53" s="293"/>
      <c r="AD53" s="294"/>
      <c r="AE53" s="294"/>
      <c r="AF53" s="294"/>
      <c r="AG53" s="294"/>
      <c r="AH53" s="294"/>
      <c r="AI53" s="294"/>
      <c r="AJ53" s="294"/>
      <c r="AK53" s="293"/>
      <c r="AL53" s="294"/>
      <c r="AM53" s="221"/>
      <c r="AO53" s="428"/>
      <c r="AP53" s="428" t="str">
        <f t="shared" si="1"/>
        <v>Добавить схему подключения</v>
      </c>
      <c r="AQ53" s="428"/>
      <c r="AR53" s="428"/>
    </row>
    <row r="54" spans="1:44" s="1755" customFormat="1" ht="0.75" customHeight="1">
      <c r="A54" s="1226" t="s">
        <v>198</v>
      </c>
      <c r="B54" s="1226" t="s">
        <v>199</v>
      </c>
      <c r="C54" s="1226" t="s">
        <v>200</v>
      </c>
      <c r="D54" s="1198"/>
      <c r="E54" s="2222"/>
      <c r="F54" s="2222"/>
      <c r="G54" s="2221"/>
      <c r="H54" s="1198"/>
      <c r="I54" s="1198"/>
      <c r="J54" s="1198"/>
      <c r="K54" s="1198"/>
      <c r="L54" s="1222"/>
      <c r="M54" s="1199"/>
      <c r="N54" s="1199"/>
      <c r="P54" s="1200"/>
      <c r="Q54" s="1201"/>
      <c r="R54" s="1200"/>
      <c r="S54" s="1206"/>
      <c r="T54" s="1209" t="s">
        <v>1438</v>
      </c>
      <c r="U54" s="1208"/>
      <c r="V54" s="1208"/>
      <c r="W54" s="1208"/>
      <c r="X54" s="1208"/>
      <c r="Y54" s="1208"/>
      <c r="Z54" s="1208"/>
      <c r="AA54" s="1208"/>
      <c r="AB54" s="1208"/>
      <c r="AC54" s="1208"/>
      <c r="AD54" s="1208"/>
      <c r="AE54" s="1208"/>
      <c r="AF54" s="1208"/>
      <c r="AG54" s="1208"/>
      <c r="AH54" s="1208"/>
      <c r="AI54" s="1208"/>
      <c r="AJ54" s="1208"/>
      <c r="AK54" s="1208"/>
      <c r="AL54" s="1208"/>
      <c r="AM54" s="1208"/>
      <c r="AO54" s="695"/>
      <c r="AP54" s="695" t="str">
        <f t="shared" si="1"/>
        <v>Добавить источник для дифференциации</v>
      </c>
      <c r="AQ54" s="695"/>
      <c r="AR54" s="695"/>
    </row>
    <row r="55" spans="1:44" s="1755" customFormat="1" ht="0.75" customHeight="1">
      <c r="A55" s="1226" t="s">
        <v>198</v>
      </c>
      <c r="B55" s="1226" t="s">
        <v>199</v>
      </c>
      <c r="C55" s="1198"/>
      <c r="D55" s="1198"/>
      <c r="E55" s="2222"/>
      <c r="F55" s="2221"/>
      <c r="G55" s="1198"/>
      <c r="H55" s="1198"/>
      <c r="I55" s="1198"/>
      <c r="J55" s="1198"/>
      <c r="K55" s="1198"/>
      <c r="L55" s="1222"/>
      <c r="M55" s="1205"/>
      <c r="N55" s="1205"/>
      <c r="P55" s="1200"/>
      <c r="Q55" s="1201"/>
      <c r="R55" s="1200"/>
      <c r="S55" s="1206"/>
      <c r="T55" s="1209" t="s">
        <v>1439</v>
      </c>
      <c r="U55" s="1208"/>
      <c r="V55" s="1208"/>
      <c r="W55" s="1208"/>
      <c r="X55" s="1208"/>
      <c r="Y55" s="1208"/>
      <c r="Z55" s="1208"/>
      <c r="AA55" s="1208"/>
      <c r="AB55" s="1208"/>
      <c r="AC55" s="1208"/>
      <c r="AD55" s="1208"/>
      <c r="AE55" s="1208"/>
      <c r="AF55" s="1208"/>
      <c r="AG55" s="1208"/>
      <c r="AH55" s="1208"/>
      <c r="AI55" s="1208"/>
      <c r="AJ55" s="1208"/>
      <c r="AK55" s="1208"/>
      <c r="AL55" s="1208"/>
      <c r="AM55" s="1208"/>
      <c r="AO55" s="695"/>
      <c r="AP55" s="695" t="str">
        <f t="shared" si="1"/>
        <v>Добавить централизованную систему для дифференциации</v>
      </c>
      <c r="AQ55" s="695"/>
      <c r="AR55" s="695"/>
    </row>
    <row r="56" spans="1:44" s="1755" customFormat="1" ht="0.75" customHeight="1">
      <c r="A56" s="1226" t="s">
        <v>198</v>
      </c>
      <c r="B56" s="1226"/>
      <c r="C56" s="1226"/>
      <c r="D56" s="1226"/>
      <c r="E56" s="2221"/>
      <c r="F56" s="1226"/>
      <c r="G56" s="1226"/>
      <c r="H56" s="1226"/>
      <c r="I56" s="1226"/>
      <c r="J56" s="1226"/>
      <c r="K56" s="1226"/>
      <c r="L56" s="1229"/>
      <c r="M56" s="1205"/>
      <c r="N56" s="1205"/>
      <c r="O56" s="446"/>
      <c r="P56" s="311"/>
      <c r="Q56" s="1227"/>
      <c r="R56" s="311"/>
      <c r="S56" s="1206"/>
      <c r="T56" s="1209" t="s">
        <v>1440</v>
      </c>
      <c r="U56" s="1208"/>
      <c r="V56" s="1208"/>
      <c r="W56" s="1208"/>
      <c r="X56" s="1208"/>
      <c r="Y56" s="1208"/>
      <c r="Z56" s="1208"/>
      <c r="AA56" s="1208"/>
      <c r="AB56" s="1208"/>
      <c r="AC56" s="1208"/>
      <c r="AD56" s="1208"/>
      <c r="AE56" s="1208"/>
      <c r="AF56" s="1208"/>
      <c r="AG56" s="1208"/>
      <c r="AH56" s="1208"/>
      <c r="AI56" s="1208"/>
      <c r="AJ56" s="1208"/>
      <c r="AK56" s="1208"/>
      <c r="AL56" s="1208"/>
      <c r="AM56" s="1208"/>
      <c r="AO56" s="428"/>
      <c r="AP56" s="428" t="str">
        <f t="shared" si="1"/>
        <v>Добавить территорию для дифференциации</v>
      </c>
      <c r="AQ56" s="428"/>
      <c r="AR56" s="428"/>
    </row>
    <row r="57" spans="1:44" s="1755" customFormat="1" ht="0.75" customHeight="1">
      <c r="A57" s="1198"/>
      <c r="B57" s="1198"/>
      <c r="C57" s="1198"/>
      <c r="D57" s="1198"/>
      <c r="E57" s="1226"/>
      <c r="F57" s="1198"/>
      <c r="G57" s="1198"/>
      <c r="H57" s="1198"/>
      <c r="I57" s="1198"/>
      <c r="J57" s="1198"/>
      <c r="K57" s="1198"/>
      <c r="L57" s="1222"/>
      <c r="M57" s="1205"/>
      <c r="N57" s="1205"/>
      <c r="P57" s="1200"/>
      <c r="Q57" s="1201"/>
      <c r="R57" s="1200"/>
      <c r="S57" s="1206"/>
      <c r="T57" s="1209" t="s">
        <v>1441</v>
      </c>
      <c r="U57" s="1208"/>
      <c r="V57" s="1208"/>
      <c r="W57" s="1208"/>
      <c r="X57" s="1208"/>
      <c r="Y57" s="1208"/>
      <c r="Z57" s="1208"/>
      <c r="AA57" s="1208"/>
      <c r="AB57" s="1208"/>
      <c r="AC57" s="1208"/>
      <c r="AD57" s="1208"/>
      <c r="AE57" s="1208"/>
      <c r="AF57" s="1208"/>
      <c r="AG57" s="1208"/>
      <c r="AH57" s="1208"/>
      <c r="AI57" s="1208"/>
      <c r="AJ57" s="1208"/>
      <c r="AK57" s="1208"/>
      <c r="AL57" s="1208"/>
      <c r="AM57" s="1208"/>
      <c r="AO57" s="695"/>
      <c r="AP57" s="695" t="str">
        <f t="shared" si="1"/>
        <v>Добавить наименование тарифа</v>
      </c>
      <c r="AQ57" s="695"/>
      <c r="AR57" s="695"/>
    </row>
    <row r="58" spans="1:44" ht="11.25" hidden="1" customHeight="1">
      <c r="M58" s="1034"/>
      <c r="N58" s="1034"/>
      <c r="O58" s="464"/>
      <c r="P58" s="1029"/>
      <c r="Q58" s="1029"/>
      <c r="R58" s="1029"/>
      <c r="S58" s="1029"/>
      <c r="AN58" s="1029"/>
      <c r="AO58" s="1029"/>
      <c r="AP58" s="1029"/>
      <c r="AQ58" s="1029"/>
      <c r="AR58" s="1029"/>
    </row>
    <row r="59" spans="1:44" ht="27" hidden="1" customHeight="1">
      <c r="O59" s="464"/>
      <c r="S59" s="1126" t="s">
        <v>1511</v>
      </c>
      <c r="T59" s="2220" t="s">
        <v>1518</v>
      </c>
      <c r="U59" s="2220"/>
      <c r="V59" s="2220"/>
      <c r="W59" s="2220"/>
      <c r="X59" s="2220"/>
      <c r="Y59" s="2220"/>
      <c r="Z59" s="2220"/>
      <c r="AA59" s="2220"/>
      <c r="AB59" s="2220"/>
      <c r="AC59" s="2220"/>
      <c r="AD59" s="2220"/>
      <c r="AE59" s="2220"/>
      <c r="AF59" s="2220"/>
      <c r="AG59" s="2220"/>
      <c r="AH59" s="2220"/>
      <c r="AI59" s="2220"/>
      <c r="AJ59" s="2220"/>
      <c r="AK59" s="2220"/>
      <c r="AL59" s="2220"/>
      <c r="AM59" s="2220"/>
    </row>
    <row r="60" spans="1:44" ht="75" hidden="1" customHeight="1">
      <c r="O60" s="464"/>
      <c r="T60" s="2220" t="s">
        <v>1513</v>
      </c>
      <c r="U60" s="2220"/>
      <c r="V60" s="2220"/>
      <c r="W60" s="2220"/>
      <c r="X60" s="2220"/>
      <c r="Y60" s="2220"/>
      <c r="Z60" s="2220"/>
      <c r="AA60" s="2220"/>
      <c r="AB60" s="2220"/>
      <c r="AC60" s="2220"/>
      <c r="AD60" s="2220"/>
      <c r="AE60" s="2220"/>
      <c r="AF60" s="2220"/>
      <c r="AG60" s="2220"/>
      <c r="AH60" s="2220"/>
      <c r="AI60" s="2220"/>
      <c r="AJ60" s="2220"/>
      <c r="AK60" s="2220"/>
      <c r="AL60" s="2220"/>
      <c r="AM60" s="2220"/>
    </row>
    <row r="61" spans="1:44" ht="14.25" hidden="1" customHeight="1">
      <c r="O61" s="464"/>
    </row>
    <row r="62" spans="1:44" ht="18" hidden="1" customHeight="1">
      <c r="O62" s="464"/>
      <c r="S62" s="1126" t="s">
        <v>1511</v>
      </c>
      <c r="T62" s="2220" t="s">
        <v>1514</v>
      </c>
      <c r="U62" s="2220"/>
      <c r="V62" s="2220"/>
      <c r="W62" s="2220"/>
      <c r="X62" s="2220"/>
      <c r="Y62" s="2220"/>
      <c r="Z62" s="2220"/>
      <c r="AA62" s="2220"/>
      <c r="AB62" s="2220"/>
      <c r="AC62" s="2220"/>
      <c r="AD62" s="2220"/>
      <c r="AE62" s="2220"/>
      <c r="AF62" s="2220"/>
      <c r="AG62" s="2220"/>
      <c r="AH62" s="2220"/>
      <c r="AI62" s="2220"/>
      <c r="AJ62" s="2220"/>
      <c r="AK62" s="2220"/>
      <c r="AL62" s="2220"/>
      <c r="AM62" s="2220"/>
    </row>
    <row r="63" spans="1:44" ht="18" hidden="1" customHeight="1">
      <c r="O63" s="464"/>
      <c r="T63" s="2220" t="s">
        <v>1515</v>
      </c>
      <c r="U63" s="2220"/>
      <c r="V63" s="2220"/>
      <c r="W63" s="2220"/>
      <c r="X63" s="2220"/>
      <c r="Y63" s="2220"/>
      <c r="Z63" s="2220"/>
      <c r="AA63" s="2220"/>
      <c r="AB63" s="2220"/>
      <c r="AC63" s="2220"/>
      <c r="AD63" s="2220"/>
      <c r="AE63" s="2220"/>
      <c r="AF63" s="2220"/>
      <c r="AG63" s="2220"/>
      <c r="AH63" s="2220"/>
      <c r="AI63" s="2220"/>
      <c r="AJ63" s="2220"/>
      <c r="AK63" s="2220"/>
      <c r="AL63" s="2220"/>
      <c r="AM63" s="2220"/>
    </row>
    <row r="64" spans="1:44" ht="38.25" hidden="1" customHeight="1">
      <c r="O64" s="464"/>
      <c r="S64" s="1126"/>
      <c r="T64" s="2220" t="s">
        <v>1516</v>
      </c>
      <c r="U64" s="2220"/>
      <c r="V64" s="2220"/>
      <c r="W64" s="2220"/>
      <c r="X64" s="2220"/>
      <c r="Y64" s="2220"/>
      <c r="Z64" s="2220"/>
      <c r="AA64" s="2220"/>
      <c r="AB64" s="2220"/>
      <c r="AC64" s="2220"/>
      <c r="AD64" s="2220"/>
      <c r="AE64" s="2220"/>
      <c r="AF64" s="2220"/>
      <c r="AG64" s="2220"/>
      <c r="AH64" s="2220"/>
      <c r="AI64" s="2220"/>
      <c r="AJ64" s="2220"/>
      <c r="AK64" s="2220"/>
      <c r="AL64" s="2220"/>
      <c r="AM64" s="2220"/>
    </row>
  </sheetData>
  <sheetProtection formatColumns="0" formatRows="0" insertRows="0" deleteColumns="0" deleteRows="0" sort="0" autoFilter="0"/>
  <mergeCells count="110">
    <mergeCell ref="E2:E15"/>
    <mergeCell ref="F3:F14"/>
    <mergeCell ref="G4:G13"/>
    <mergeCell ref="H5:H12"/>
    <mergeCell ref="I6:I11"/>
    <mergeCell ref="P6:P11"/>
    <mergeCell ref="J7:J10"/>
    <mergeCell ref="Q7:Q10"/>
    <mergeCell ref="K8:K9"/>
    <mergeCell ref="AD31:AJ31"/>
    <mergeCell ref="AJ8:AJ9"/>
    <mergeCell ref="AK8:AK9"/>
    <mergeCell ref="Z8:Z9"/>
    <mergeCell ref="S26:AJ26"/>
    <mergeCell ref="S27:AJ27"/>
    <mergeCell ref="S29:T29"/>
    <mergeCell ref="V29:AB29"/>
    <mergeCell ref="AM8:AM10"/>
    <mergeCell ref="AH17:AH18"/>
    <mergeCell ref="AI17:AI18"/>
    <mergeCell ref="AJ17:AJ18"/>
    <mergeCell ref="AK17:AK18"/>
    <mergeCell ref="AA8:AA9"/>
    <mergeCell ref="AB8:AB9"/>
    <mergeCell ref="AC8:AC9"/>
    <mergeCell ref="AH8:AH9"/>
    <mergeCell ref="AI8:AI9"/>
    <mergeCell ref="AM38:AM41"/>
    <mergeCell ref="S39:S41"/>
    <mergeCell ref="T39:T41"/>
    <mergeCell ref="V39:AB39"/>
    <mergeCell ref="AC39:AC41"/>
    <mergeCell ref="AD39:AJ39"/>
    <mergeCell ref="AK39:AK41"/>
    <mergeCell ref="AL39:AL41"/>
    <mergeCell ref="V40:V41"/>
    <mergeCell ref="W40:W41"/>
    <mergeCell ref="Z40:AB40"/>
    <mergeCell ref="E43:E56"/>
    <mergeCell ref="V43:AC43"/>
    <mergeCell ref="AD43:AL43"/>
    <mergeCell ref="F44:F55"/>
    <mergeCell ref="V44:AC44"/>
    <mergeCell ref="AD44:AL44"/>
    <mergeCell ref="G45:G54"/>
    <mergeCell ref="V45:AC45"/>
    <mergeCell ref="AD45:AL45"/>
    <mergeCell ref="H46:H53"/>
    <mergeCell ref="V46:AC46"/>
    <mergeCell ref="AD46:AL46"/>
    <mergeCell ref="I47:I52"/>
    <mergeCell ref="P47:P52"/>
    <mergeCell ref="J48:J51"/>
    <mergeCell ref="Q48:Q51"/>
    <mergeCell ref="V48:AC48"/>
    <mergeCell ref="AD48:AL48"/>
    <mergeCell ref="K49:K50"/>
    <mergeCell ref="Z49:Z50"/>
    <mergeCell ref="AA49:AA50"/>
    <mergeCell ref="AB49:AB50"/>
    <mergeCell ref="AC49:AC50"/>
    <mergeCell ref="AH49:AH50"/>
    <mergeCell ref="AI49:AI50"/>
    <mergeCell ref="AJ49:AJ50"/>
    <mergeCell ref="AK49:AK50"/>
    <mergeCell ref="V5:AC5"/>
    <mergeCell ref="AD5:AL5"/>
    <mergeCell ref="V6:AC6"/>
    <mergeCell ref="AD6:AL6"/>
    <mergeCell ref="V7:AC7"/>
    <mergeCell ref="AD7:AL7"/>
    <mergeCell ref="AH40:AJ40"/>
    <mergeCell ref="AA41:AB41"/>
    <mergeCell ref="AI41:AJ41"/>
    <mergeCell ref="AD32:AJ32"/>
    <mergeCell ref="V37:AC37"/>
    <mergeCell ref="AD37:AK37"/>
    <mergeCell ref="S38:AL38"/>
    <mergeCell ref="S32:T32"/>
    <mergeCell ref="V32:AB32"/>
    <mergeCell ref="AD29:AJ29"/>
    <mergeCell ref="S30:T30"/>
    <mergeCell ref="V30:AB30"/>
    <mergeCell ref="AD30:AJ30"/>
    <mergeCell ref="S31:T31"/>
    <mergeCell ref="V31:AB31"/>
    <mergeCell ref="V2:AC2"/>
    <mergeCell ref="AD2:AL2"/>
    <mergeCell ref="V3:AC3"/>
    <mergeCell ref="AD3:AL3"/>
    <mergeCell ref="V4:AC4"/>
    <mergeCell ref="AD4:AL4"/>
    <mergeCell ref="T62:AM62"/>
    <mergeCell ref="T63:AM63"/>
    <mergeCell ref="T64:AM64"/>
    <mergeCell ref="S34:T34"/>
    <mergeCell ref="V34:AB34"/>
    <mergeCell ref="AD34:AJ34"/>
    <mergeCell ref="S35:T35"/>
    <mergeCell ref="V35:AB35"/>
    <mergeCell ref="AD35:AJ35"/>
    <mergeCell ref="AM49:AM51"/>
    <mergeCell ref="T59:AM59"/>
    <mergeCell ref="T60:AM60"/>
    <mergeCell ref="V47:AC47"/>
    <mergeCell ref="AD47:AL47"/>
    <mergeCell ref="AA42:AB42"/>
    <mergeCell ref="AI42:AJ42"/>
    <mergeCell ref="AD40:AD41"/>
    <mergeCell ref="AE40:AE41"/>
  </mergeCells>
  <dataValidations count="8">
    <dataValidation allowBlank="1" sqref="S131123:AM131129 S196659:AM196665 S262195:AM262201 S327731:AM327737 S393267:AM393273 S458803:AM458809 S524339:AM524345 S589875:AM589881 S655411:AM655417 S720947:AM720953 S786483:AM786489 S852019:AM852025 S917555:AM917561 S983091:AM983097 S65587:AM65593"/>
    <dataValidation type="list" allowBlank="1" showInputMessage="1" errorTitle="Ошибка" error="Выберите значение из списка" prompt="Выберите значение из списка" sqref="V983088:AL983088 V65584:AL65584 V131120:AL131120 V196656:AL196656 V262192:AL262192 V327728:AL327728 V393264:AL393264 V458800:AL458800 V524336:AL524336 V589872:AL589872 V655408:AL655408 V720944:AL720944 V786480:AL786480 V852016:AL852016 V917552:AL917552">
      <formula1>kind_of_cons</formula1>
    </dataValidation>
    <dataValidation type="list" allowBlank="1" showInputMessage="1" showErrorMessage="1" errorTitle="Ошибка" error="Выберите значение из списка" sqref="T65585 T131121 T196657 T262193 T327729 T393265 T458801 T524337 T589873 T655409 T720945 T786481 T852017 T917553 T983089">
      <formula1>kind_of_heat_transfer</formula1>
    </dataValidation>
    <dataValidation type="list" allowBlank="1" showInputMessage="1" showErrorMessage="1" errorTitle="Ошибка" error="Выберите значение из списка" 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
      <formula1>kind_of_scheme_in</formula1>
    </dataValidation>
    <dataValidation type="textLength" operator="lessThanOrEqual" allowBlank="1" showInputMessage="1" showErrorMessage="1" errorTitle="Ошибка" error="Допускается ввод не более 900 символов!" sqref="AM65579:AM65586 AM131115:AM131122 AM196651:AM196658 AM262187:AM262194 AM327723:AM327730 AM393259:AM393266 AM458795:AM458802 AM524331:AM524338 AM589867:AM589874 AM655403:AM655410 AM720939:AM720946 AM786475:AM786482 AM852011:AM852018 AM917547:AM917554 AM983083:AM983090">
      <formula1>900</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dataValidation allowBlank="1" showInputMessage="1" showErrorMessage="1" prompt="Для выбора выполните двойной щелчок левой клавиши мыши по соответствующей ячейке."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524337 AK8 AK589873 AK655409 AK17 AK720945 AK786481 AK852017 AK917553 AK983089 AK65585 AK131121 AK458801 AK196657 AK262193 AI49 AI8 AC8 AA8 AI17 AK327729 AK393265 AA49 AC49 AK49"/>
    <dataValidation allowBlank="1" promptTitle="checkPeriodRange" sqref="Y65586 Y131122 Y196658 Y262194 Y327730 Y393266 Y458802 Y524338 Y589874 Y655410 Y720946 Y786482 Y852018 Y917554 Y983090 Y9 AG65586 AG131122 AG196658 AG262194 AG327730 AG393266 AG458802 AG524338 AG589874 AG655410 AG720946 AG786482 AG852018 AG917554 AG983090 AG9 AG50 AG18 Y50"/>
  </dataValidation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39997558519241921"/>
  </sheetPr>
  <dimension ref="A1:AR65"/>
  <sheetViews>
    <sheetView showGridLines="0" topLeftCell="Q25" zoomScale="90" workbookViewId="0"/>
  </sheetViews>
  <sheetFormatPr defaultColWidth="10.5703125" defaultRowHeight="14.25" customHeight="1"/>
  <cols>
    <col min="1" max="1" width="10.5703125" style="1742" hidden="1"/>
    <col min="2" max="2" width="11" style="1742" hidden="1" customWidth="1"/>
    <col min="3" max="3" width="10.5703125" style="1742" hidden="1"/>
    <col min="4" max="4" width="11.85546875" style="1742" hidden="1" customWidth="1"/>
    <col min="5" max="5" width="10" style="1742" hidden="1" customWidth="1"/>
    <col min="6" max="6" width="8.7109375" style="1742" hidden="1" customWidth="1"/>
    <col min="7" max="7" width="7.5703125" style="1742" hidden="1" customWidth="1"/>
    <col min="8" max="8" width="11.42578125" style="1742" hidden="1" customWidth="1"/>
    <col min="9" max="9" width="12" style="1742" hidden="1" customWidth="1"/>
    <col min="10" max="10" width="9.85546875" style="1742" hidden="1" customWidth="1"/>
    <col min="11" max="11" width="11.42578125" style="1742" hidden="1" customWidth="1"/>
    <col min="12" max="12" width="19.140625" style="1741" hidden="1" customWidth="1"/>
    <col min="13" max="14" width="12.28515625" style="1683" hidden="1" customWidth="1"/>
    <col min="15" max="15" width="23.42578125" style="1683" hidden="1" customWidth="1"/>
    <col min="16" max="16" width="3.7109375" style="1720" hidden="1" customWidth="1"/>
    <col min="17" max="18" width="3.7109375" style="1674" customWidth="1"/>
    <col min="19" max="19" width="12.7109375" style="1713" customWidth="1"/>
    <col min="20" max="20" width="32" style="1829" customWidth="1"/>
    <col min="21" max="21" width="0.140625" style="1829" customWidth="1"/>
    <col min="22" max="22" width="24.7109375" style="1829" hidden="1" customWidth="1"/>
    <col min="23" max="23" width="0.140625" style="1829" hidden="1" customWidth="1"/>
    <col min="24" max="25" width="24.7109375" style="1829" hidden="1" customWidth="1"/>
    <col min="26" max="26" width="11.7109375" style="1829" hidden="1" customWidth="1"/>
    <col min="27" max="27" width="3.7109375" style="1829" hidden="1" customWidth="1"/>
    <col min="28" max="28" width="11.7109375" style="1829" hidden="1" customWidth="1"/>
    <col min="29" max="29" width="8.5703125" style="1829" hidden="1" customWidth="1"/>
    <col min="30" max="30" width="24.7109375" style="1829" customWidth="1"/>
    <col min="31" max="31" width="0.140625" style="1829" customWidth="1"/>
    <col min="32" max="33" width="24.7109375" style="1829" customWidth="1"/>
    <col min="34" max="34" width="11.7109375" style="1829" customWidth="1"/>
    <col min="35" max="35" width="3.7109375" style="1829" customWidth="1"/>
    <col min="36" max="36" width="11.7109375" style="1829" customWidth="1"/>
    <col min="37" max="37" width="8.5703125" style="1829" hidden="1" customWidth="1"/>
    <col min="38" max="38" width="4.7109375" style="1829" customWidth="1"/>
    <col min="39" max="39" width="115.7109375" style="1829" customWidth="1"/>
    <col min="40" max="41" width="10.5703125" style="1755"/>
    <col min="42" max="42" width="11.140625" style="1755" customWidth="1"/>
    <col min="43" max="44" width="10.5703125" style="1755"/>
  </cols>
  <sheetData>
    <row r="1" spans="1:44" ht="14.25" hidden="1" customHeight="1">
      <c r="Y1" s="254"/>
      <c r="Z1" s="254"/>
      <c r="AG1" s="254"/>
      <c r="AH1" s="254"/>
    </row>
    <row r="2" spans="1:44" ht="21" hidden="1" customHeight="1">
      <c r="A2" s="1242"/>
      <c r="B2" s="1242"/>
      <c r="C2" s="1242"/>
      <c r="D2" s="1242"/>
      <c r="E2" s="2221">
        <v>1</v>
      </c>
      <c r="F2" s="1242"/>
      <c r="G2" s="1242"/>
      <c r="H2" s="1242"/>
      <c r="I2" s="1242"/>
      <c r="J2" s="1242"/>
      <c r="K2" s="1242"/>
      <c r="L2" s="1243"/>
      <c r="M2" s="1244"/>
      <c r="N2" s="1244"/>
      <c r="O2" s="1244"/>
      <c r="P2" s="285"/>
      <c r="Q2" s="284"/>
      <c r="R2" s="279"/>
      <c r="S2" s="1219" t="e">
        <f>INDEX(PT_DIFFERENTIATION_NUM_NTAR,MATCH(A2,PT_DIFFERENTIATION_NTAR_ID,0))</f>
        <v>#N/A</v>
      </c>
      <c r="T2" s="216" t="s">
        <v>124</v>
      </c>
      <c r="U2" s="218"/>
      <c r="V2" s="2215"/>
      <c r="W2" s="2216"/>
      <c r="X2" s="2216"/>
      <c r="Y2" s="2216"/>
      <c r="Z2" s="2216"/>
      <c r="AA2" s="2216"/>
      <c r="AB2" s="2216"/>
      <c r="AC2" s="2217"/>
      <c r="AD2" s="2215" t="e">
        <f>INDEX(PT_DIFFERENTIATION_NTAR,MATCH(A2,PT_DIFFERENTIATION_NTAR_ID,0))</f>
        <v>#N/A</v>
      </c>
      <c r="AE2" s="2216"/>
      <c r="AF2" s="2216"/>
      <c r="AG2" s="2216"/>
      <c r="AH2" s="2216"/>
      <c r="AI2" s="2216"/>
      <c r="AJ2" s="2216"/>
      <c r="AK2" s="2216"/>
      <c r="AL2" s="2217"/>
      <c r="AM2" s="1138" t="s">
        <v>1462</v>
      </c>
      <c r="AO2" s="428"/>
      <c r="AP2" s="428" t="str">
        <f t="shared" ref="AP2:AP15" si="0">IF(T2="","",T2)</f>
        <v>Наименование тарифа</v>
      </c>
      <c r="AQ2" s="428"/>
      <c r="AR2" s="428"/>
    </row>
    <row r="3" spans="1:44" ht="21" hidden="1" customHeight="1">
      <c r="A3" s="1242"/>
      <c r="B3" s="1242"/>
      <c r="C3" s="1242"/>
      <c r="D3" s="1242"/>
      <c r="E3" s="2222"/>
      <c r="F3" s="2221">
        <v>1</v>
      </c>
      <c r="G3" s="1242"/>
      <c r="H3" s="1242"/>
      <c r="I3" s="1242"/>
      <c r="J3" s="1242"/>
      <c r="K3" s="1242"/>
      <c r="L3" s="1243"/>
      <c r="M3" s="1244"/>
      <c r="N3" s="1244"/>
      <c r="O3" s="1244"/>
      <c r="P3" s="1215"/>
      <c r="Q3" s="276"/>
      <c r="R3" s="277"/>
      <c r="S3" s="1219" t="e">
        <f>INDEX(PT_DIFFERENTIATION_NUM_TER,MATCH(B3,PT_DIFFERENTIATION_TER_ID,0))</f>
        <v>#N/A</v>
      </c>
      <c r="T3" s="228" t="s">
        <v>1463</v>
      </c>
      <c r="U3" s="218"/>
      <c r="V3" s="2215"/>
      <c r="W3" s="2216"/>
      <c r="X3" s="2216"/>
      <c r="Y3" s="2216"/>
      <c r="Z3" s="2216"/>
      <c r="AA3" s="2216"/>
      <c r="AB3" s="2216"/>
      <c r="AC3" s="2217"/>
      <c r="AD3" s="2215" t="e">
        <f>INDEX(PT_DIFFERENTIATION_TER,MATCH(B3,PT_DIFFERENTIATION_TER_ID,0))</f>
        <v>#N/A</v>
      </c>
      <c r="AE3" s="2216"/>
      <c r="AF3" s="2216"/>
      <c r="AG3" s="2216"/>
      <c r="AH3" s="2216"/>
      <c r="AI3" s="2216"/>
      <c r="AJ3" s="2216"/>
      <c r="AK3" s="2216"/>
      <c r="AL3" s="2217"/>
      <c r="AM3" s="1138" t="s">
        <v>1464</v>
      </c>
      <c r="AO3" s="428"/>
      <c r="AP3" s="428" t="str">
        <f t="shared" si="0"/>
        <v>Территория действия тарифа</v>
      </c>
      <c r="AQ3" s="428"/>
      <c r="AR3" s="428"/>
    </row>
    <row r="4" spans="1:44" ht="23.25" hidden="1" customHeight="1">
      <c r="A4" s="1242"/>
      <c r="B4" s="1242"/>
      <c r="C4" s="1242"/>
      <c r="D4" s="1242"/>
      <c r="E4" s="2222"/>
      <c r="F4" s="2222"/>
      <c r="G4" s="2221">
        <v>1</v>
      </c>
      <c r="H4" s="1242"/>
      <c r="I4" s="1242"/>
      <c r="J4" s="1242"/>
      <c r="K4" s="1242"/>
      <c r="L4" s="1243"/>
      <c r="M4" s="1244"/>
      <c r="N4" s="1244"/>
      <c r="O4" s="1244"/>
      <c r="P4" s="278"/>
      <c r="Q4" s="276"/>
      <c r="R4" s="277"/>
      <c r="S4" s="1219" t="e">
        <f>INDEX(PT_DIFFERENTIATION_NUM_CS,MATCH(C4,PT_DIFFERENTIATION_CS_ID,0))</f>
        <v>#N/A</v>
      </c>
      <c r="T4" s="229" t="s">
        <v>1465</v>
      </c>
      <c r="U4" s="218"/>
      <c r="V4" s="2215"/>
      <c r="W4" s="2216"/>
      <c r="X4" s="2216"/>
      <c r="Y4" s="2216"/>
      <c r="Z4" s="2216"/>
      <c r="AA4" s="2216"/>
      <c r="AB4" s="2216"/>
      <c r="AC4" s="2217"/>
      <c r="AD4" s="2215" t="e">
        <f>INDEX(PT_DIFFERENTIATION_CS,MATCH(C4,PT_DIFFERENTIATION_CS_ID,0))</f>
        <v>#N/A</v>
      </c>
      <c r="AE4" s="2216"/>
      <c r="AF4" s="2216"/>
      <c r="AG4" s="2216"/>
      <c r="AH4" s="2216"/>
      <c r="AI4" s="2216"/>
      <c r="AJ4" s="2216"/>
      <c r="AK4" s="2216"/>
      <c r="AL4" s="2217"/>
      <c r="AM4" s="1138" t="s">
        <v>1466</v>
      </c>
      <c r="AO4" s="428"/>
      <c r="AP4" s="428" t="str">
        <f t="shared" si="0"/>
        <v xml:space="preserve">Наименование системы теплоснабжения </v>
      </c>
      <c r="AQ4" s="428"/>
      <c r="AR4" s="428"/>
    </row>
    <row r="5" spans="1:44" ht="21" hidden="1" customHeight="1">
      <c r="A5" s="1242"/>
      <c r="B5" s="1242"/>
      <c r="C5" s="1242"/>
      <c r="D5" s="1242"/>
      <c r="E5" s="2222"/>
      <c r="F5" s="2222"/>
      <c r="G5" s="2222"/>
      <c r="H5" s="2221">
        <v>1</v>
      </c>
      <c r="I5" s="1242"/>
      <c r="J5" s="1242"/>
      <c r="K5" s="1242"/>
      <c r="L5" s="1243"/>
      <c r="M5" s="1244"/>
      <c r="N5" s="1244"/>
      <c r="O5" s="1244"/>
      <c r="P5" s="278"/>
      <c r="Q5" s="276"/>
      <c r="R5" s="277"/>
      <c r="S5" s="1219" t="e">
        <f>INDEX(PT_DIFFERENTIATION_NUM_IST_TE,MATCH(D5,PT_DIFFERENTIATION_IST_TE_ID,0))</f>
        <v>#N/A</v>
      </c>
      <c r="T5" s="230" t="s">
        <v>1467</v>
      </c>
      <c r="U5" s="218"/>
      <c r="V5" s="2215"/>
      <c r="W5" s="2216"/>
      <c r="X5" s="2216"/>
      <c r="Y5" s="2216"/>
      <c r="Z5" s="2216"/>
      <c r="AA5" s="2216"/>
      <c r="AB5" s="2216"/>
      <c r="AC5" s="2217"/>
      <c r="AD5" s="2215" t="e">
        <f>INDEX(PT_DIFFERENTIATION_IST_TE,MATCH(D5,PT_DIFFERENTIATION_IST_TE_ID,0))</f>
        <v>#N/A</v>
      </c>
      <c r="AE5" s="2216"/>
      <c r="AF5" s="2216"/>
      <c r="AG5" s="2216"/>
      <c r="AH5" s="2216"/>
      <c r="AI5" s="2216"/>
      <c r="AJ5" s="2216"/>
      <c r="AK5" s="2216"/>
      <c r="AL5" s="2217"/>
      <c r="AM5" s="1138" t="s">
        <v>1468</v>
      </c>
      <c r="AO5" s="428"/>
      <c r="AP5" s="428" t="str">
        <f t="shared" si="0"/>
        <v xml:space="preserve">Источник тепловой энергии  </v>
      </c>
      <c r="AQ5" s="428"/>
      <c r="AR5" s="428"/>
    </row>
    <row r="6" spans="1:44" ht="14.25" hidden="1" customHeight="1">
      <c r="A6" s="1242"/>
      <c r="B6" s="1242"/>
      <c r="C6" s="1242"/>
      <c r="D6" s="1242"/>
      <c r="E6" s="2222"/>
      <c r="F6" s="2222"/>
      <c r="G6" s="2222"/>
      <c r="H6" s="2222"/>
      <c r="I6" s="2223" t="e">
        <f>S5&amp;".1"</f>
        <v>#N/A</v>
      </c>
      <c r="J6" s="1242"/>
      <c r="K6" s="1242"/>
      <c r="L6" s="1243" t="s">
        <v>1469</v>
      </c>
      <c r="M6" s="464"/>
      <c r="P6" s="2143">
        <v>1</v>
      </c>
      <c r="Q6" s="1214"/>
      <c r="R6" s="280"/>
      <c r="S6" s="932"/>
      <c r="T6" s="1261"/>
      <c r="U6" s="1262"/>
      <c r="V6" s="2249"/>
      <c r="W6" s="2250"/>
      <c r="X6" s="2250"/>
      <c r="Y6" s="2250"/>
      <c r="Z6" s="2250"/>
      <c r="AA6" s="2250"/>
      <c r="AB6" s="2250"/>
      <c r="AC6" s="2251"/>
      <c r="AD6" s="2249"/>
      <c r="AE6" s="2250"/>
      <c r="AF6" s="2250"/>
      <c r="AG6" s="2250"/>
      <c r="AH6" s="2250"/>
      <c r="AI6" s="2250"/>
      <c r="AJ6" s="2250"/>
      <c r="AK6" s="2250"/>
      <c r="AL6" s="2251"/>
      <c r="AM6" s="1263"/>
      <c r="AO6" s="428"/>
      <c r="AP6" s="428" t="str">
        <f t="shared" si="0"/>
        <v/>
      </c>
      <c r="AQ6" s="428"/>
      <c r="AR6" s="428"/>
    </row>
    <row r="7" spans="1:44" ht="21" hidden="1" customHeight="1">
      <c r="A7" s="1242"/>
      <c r="B7" s="1242"/>
      <c r="C7" s="1242"/>
      <c r="D7" s="1242"/>
      <c r="E7" s="2222"/>
      <c r="F7" s="2222"/>
      <c r="G7" s="2222"/>
      <c r="H7" s="2222"/>
      <c r="I7" s="2224"/>
      <c r="J7" s="2223" t="e">
        <f>I6&amp;".1"</f>
        <v>#N/A</v>
      </c>
      <c r="K7" s="1242"/>
      <c r="L7" s="1243" t="s">
        <v>1472</v>
      </c>
      <c r="M7" s="464"/>
      <c r="N7" s="1245"/>
      <c r="P7" s="2143"/>
      <c r="Q7" s="2143">
        <v>1</v>
      </c>
      <c r="R7" s="281"/>
      <c r="S7" s="1219" t="e">
        <f>$J7</f>
        <v>#N/A</v>
      </c>
      <c r="T7" s="204" t="s">
        <v>1473</v>
      </c>
      <c r="U7" s="218"/>
      <c r="V7" s="2210"/>
      <c r="W7" s="2211"/>
      <c r="X7" s="2211"/>
      <c r="Y7" s="2211"/>
      <c r="Z7" s="2211"/>
      <c r="AA7" s="2211"/>
      <c r="AB7" s="2211"/>
      <c r="AC7" s="2212"/>
      <c r="AD7" s="2210"/>
      <c r="AE7" s="2211"/>
      <c r="AF7" s="2211"/>
      <c r="AG7" s="2211"/>
      <c r="AH7" s="2211"/>
      <c r="AI7" s="2211"/>
      <c r="AJ7" s="2211"/>
      <c r="AK7" s="2211"/>
      <c r="AL7" s="2212"/>
      <c r="AM7" s="1138" t="s">
        <v>1474</v>
      </c>
      <c r="AO7" s="428"/>
      <c r="AP7" s="428" t="str">
        <f t="shared" si="0"/>
        <v>Группа потребителей</v>
      </c>
      <c r="AQ7" s="428"/>
      <c r="AR7" s="428"/>
    </row>
    <row r="8" spans="1:44" ht="21" hidden="1" customHeight="1">
      <c r="A8" s="1242"/>
      <c r="B8" s="1242"/>
      <c r="C8" s="1242"/>
      <c r="D8" s="1242"/>
      <c r="E8" s="2222"/>
      <c r="F8" s="2222"/>
      <c r="G8" s="2222"/>
      <c r="H8" s="2222"/>
      <c r="I8" s="2224"/>
      <c r="J8" s="2224"/>
      <c r="K8" s="2223" t="e">
        <f>J7&amp;".1"</f>
        <v>#N/A</v>
      </c>
      <c r="L8" s="1243" t="s">
        <v>1475</v>
      </c>
      <c r="M8" s="464"/>
      <c r="N8" s="1245"/>
      <c r="O8" s="1245"/>
      <c r="P8" s="2143"/>
      <c r="Q8" s="2143"/>
      <c r="R8" s="281">
        <v>1</v>
      </c>
      <c r="S8" s="1219" t="e">
        <f>$K8</f>
        <v>#N/A</v>
      </c>
      <c r="T8" s="1230"/>
      <c r="U8" s="218"/>
      <c r="V8" s="1664"/>
      <c r="W8" s="1665"/>
      <c r="X8" s="1664"/>
      <c r="Y8" s="1666"/>
      <c r="Z8" s="2225"/>
      <c r="AA8" s="2017" t="s">
        <v>62</v>
      </c>
      <c r="AB8" s="2225"/>
      <c r="AC8" s="2017" t="s">
        <v>62</v>
      </c>
      <c r="AD8" s="1664"/>
      <c r="AE8" s="1665"/>
      <c r="AF8" s="1664"/>
      <c r="AG8" s="1666"/>
      <c r="AH8" s="2225"/>
      <c r="AI8" s="2017" t="s">
        <v>62</v>
      </c>
      <c r="AJ8" s="2225"/>
      <c r="AK8" s="2017" t="s">
        <v>62</v>
      </c>
      <c r="AL8" s="1665"/>
      <c r="AM8" s="2243" t="s">
        <v>1476</v>
      </c>
      <c r="AN8" s="439" t="e">
        <f ca="1">STRCHECKDATE(V9:AL9)</f>
        <v>#NAME?</v>
      </c>
      <c r="AO8" s="428"/>
      <c r="AP8" s="428" t="str">
        <f t="shared" si="0"/>
        <v/>
      </c>
      <c r="AQ8" s="428"/>
      <c r="AR8" s="428"/>
    </row>
    <row r="9" spans="1:44" ht="0.75" hidden="1" customHeight="1">
      <c r="A9" s="1242"/>
      <c r="B9" s="1242"/>
      <c r="C9" s="1242"/>
      <c r="D9" s="1242"/>
      <c r="E9" s="2222"/>
      <c r="F9" s="2222"/>
      <c r="G9" s="2222"/>
      <c r="H9" s="2222"/>
      <c r="I9" s="2224"/>
      <c r="J9" s="2224"/>
      <c r="K9" s="2223"/>
      <c r="L9" s="1243"/>
      <c r="M9" s="464"/>
      <c r="N9" s="1245"/>
      <c r="O9" s="1245"/>
      <c r="P9" s="2143"/>
      <c r="Q9" s="2143"/>
      <c r="R9" s="281"/>
      <c r="S9" s="1225"/>
      <c r="T9" s="218"/>
      <c r="U9" s="218"/>
      <c r="V9" s="1665"/>
      <c r="W9" s="1665"/>
      <c r="X9" s="1665"/>
      <c r="Y9" s="1667" t="str">
        <f>Z8&amp;"-"&amp;AB8</f>
        <v>-</v>
      </c>
      <c r="Z9" s="2226"/>
      <c r="AA9" s="2017"/>
      <c r="AB9" s="2226"/>
      <c r="AC9" s="2017"/>
      <c r="AD9" s="1665"/>
      <c r="AE9" s="1665"/>
      <c r="AF9" s="1665"/>
      <c r="AG9" s="1667" t="str">
        <f>AH8&amp;"-"&amp;AJ8</f>
        <v>-</v>
      </c>
      <c r="AH9" s="2226"/>
      <c r="AI9" s="2017"/>
      <c r="AJ9" s="2226"/>
      <c r="AK9" s="2017"/>
      <c r="AL9" s="1665"/>
      <c r="AM9" s="2244"/>
      <c r="AO9" s="428"/>
      <c r="AP9" s="428" t="str">
        <f t="shared" si="0"/>
        <v/>
      </c>
      <c r="AQ9" s="428"/>
      <c r="AR9" s="428"/>
    </row>
    <row r="10" spans="1:44" ht="15" hidden="1" customHeight="1">
      <c r="A10" s="1242"/>
      <c r="B10" s="1242"/>
      <c r="C10" s="1242"/>
      <c r="D10" s="1242"/>
      <c r="E10" s="2222"/>
      <c r="F10" s="2222"/>
      <c r="G10" s="2222"/>
      <c r="H10" s="2222"/>
      <c r="I10" s="2224"/>
      <c r="J10" s="2223"/>
      <c r="K10" s="1242"/>
      <c r="L10" s="1243"/>
      <c r="M10" s="464"/>
      <c r="N10" s="1245"/>
      <c r="P10" s="2143"/>
      <c r="Q10" s="2143"/>
      <c r="R10" s="280"/>
      <c r="S10" s="1159"/>
      <c r="T10" s="205" t="s">
        <v>1477</v>
      </c>
      <c r="U10" s="294"/>
      <c r="V10" s="294"/>
      <c r="W10" s="294"/>
      <c r="X10" s="294"/>
      <c r="Y10" s="294"/>
      <c r="Z10" s="294"/>
      <c r="AA10" s="294"/>
      <c r="AB10" s="294"/>
      <c r="AC10" s="294"/>
      <c r="AD10" s="294"/>
      <c r="AE10" s="294"/>
      <c r="AF10" s="294"/>
      <c r="AG10" s="294"/>
      <c r="AH10" s="294"/>
      <c r="AI10" s="294"/>
      <c r="AJ10" s="294"/>
      <c r="AK10" s="294"/>
      <c r="AL10" s="251"/>
      <c r="AM10" s="2245"/>
      <c r="AO10" s="428"/>
      <c r="AP10" s="428" t="str">
        <f t="shared" si="0"/>
        <v>Добавить вид теплоносителя (параметры теплоносителя)</v>
      </c>
      <c r="AQ10" s="428"/>
      <c r="AR10" s="428"/>
    </row>
    <row r="11" spans="1:44" ht="15" hidden="1" customHeight="1">
      <c r="A11" s="1242"/>
      <c r="B11" s="1242"/>
      <c r="C11" s="1242"/>
      <c r="D11" s="1242"/>
      <c r="E11" s="2222"/>
      <c r="F11" s="2222"/>
      <c r="G11" s="2222"/>
      <c r="H11" s="2222"/>
      <c r="I11" s="2223"/>
      <c r="J11" s="1242"/>
      <c r="K11" s="1242"/>
      <c r="L11" s="1243"/>
      <c r="M11" s="464"/>
      <c r="P11" s="2143"/>
      <c r="Q11" s="1214"/>
      <c r="R11" s="280"/>
      <c r="S11" s="1159"/>
      <c r="T11" s="291" t="s">
        <v>1478</v>
      </c>
      <c r="U11" s="294"/>
      <c r="V11" s="294"/>
      <c r="W11" s="294"/>
      <c r="X11" s="294"/>
      <c r="Y11" s="294"/>
      <c r="Z11" s="294"/>
      <c r="AA11" s="294"/>
      <c r="AB11" s="294"/>
      <c r="AC11" s="293"/>
      <c r="AD11" s="294"/>
      <c r="AE11" s="294"/>
      <c r="AF11" s="294"/>
      <c r="AG11" s="294"/>
      <c r="AH11" s="294"/>
      <c r="AI11" s="294"/>
      <c r="AJ11" s="294"/>
      <c r="AK11" s="293"/>
      <c r="AL11" s="294"/>
      <c r="AM11" s="221"/>
      <c r="AO11" s="428"/>
      <c r="AP11" s="428" t="str">
        <f t="shared" si="0"/>
        <v>Добавить группу потребителей</v>
      </c>
      <c r="AQ11" s="428"/>
      <c r="AR11" s="428"/>
    </row>
    <row r="12" spans="1:44" ht="14.25" hidden="1" customHeight="1">
      <c r="A12" s="1242"/>
      <c r="B12" s="1242"/>
      <c r="C12" s="1242"/>
      <c r="D12" s="1242"/>
      <c r="E12" s="2222"/>
      <c r="F12" s="2222"/>
      <c r="G12" s="2222"/>
      <c r="H12" s="2221"/>
      <c r="I12" s="1242"/>
      <c r="J12" s="1242"/>
      <c r="K12" s="1242"/>
      <c r="L12" s="1243"/>
      <c r="M12" s="1244"/>
      <c r="N12" s="1244"/>
      <c r="O12" s="464"/>
      <c r="P12" s="284"/>
      <c r="Q12" s="303"/>
      <c r="R12" s="279"/>
      <c r="S12" s="1264"/>
      <c r="T12" s="1265"/>
      <c r="U12" s="1266"/>
      <c r="V12" s="1266"/>
      <c r="W12" s="1266"/>
      <c r="X12" s="1266"/>
      <c r="Y12" s="1266"/>
      <c r="Z12" s="1266"/>
      <c r="AA12" s="1266"/>
      <c r="AB12" s="1266"/>
      <c r="AC12" s="1266"/>
      <c r="AD12" s="1266"/>
      <c r="AE12" s="1266"/>
      <c r="AF12" s="1266"/>
      <c r="AG12" s="1266"/>
      <c r="AH12" s="1266"/>
      <c r="AI12" s="1266"/>
      <c r="AJ12" s="1266"/>
      <c r="AK12" s="1266"/>
      <c r="AL12" s="1266"/>
      <c r="AM12" s="1267"/>
      <c r="AO12" s="428"/>
      <c r="AP12" s="428" t="str">
        <f t="shared" si="0"/>
        <v/>
      </c>
      <c r="AQ12" s="428"/>
      <c r="AR12" s="428"/>
    </row>
    <row r="13" spans="1:44" s="1755" customFormat="1" ht="0.75" hidden="1" customHeight="1">
      <c r="A13" s="1198"/>
      <c r="B13" s="1198"/>
      <c r="C13" s="1198"/>
      <c r="D13" s="1198"/>
      <c r="E13" s="2222"/>
      <c r="F13" s="2222"/>
      <c r="G13" s="2221"/>
      <c r="H13" s="1198"/>
      <c r="I13" s="1198"/>
      <c r="J13" s="1198"/>
      <c r="K13" s="1198"/>
      <c r="L13" s="1222"/>
      <c r="M13" s="1199"/>
      <c r="N13" s="1199"/>
      <c r="P13" s="1200"/>
      <c r="Q13" s="1201"/>
      <c r="R13" s="1200"/>
      <c r="S13" s="1202"/>
      <c r="T13" s="1203" t="s">
        <v>1438</v>
      </c>
      <c r="U13" s="1204"/>
      <c r="V13" s="1204"/>
      <c r="W13" s="1204"/>
      <c r="X13" s="1204"/>
      <c r="Y13" s="1204"/>
      <c r="Z13" s="1204"/>
      <c r="AA13" s="1204"/>
      <c r="AB13" s="1204"/>
      <c r="AC13" s="1204"/>
      <c r="AD13" s="1204"/>
      <c r="AE13" s="1204"/>
      <c r="AF13" s="1204"/>
      <c r="AG13" s="1204"/>
      <c r="AH13" s="1204"/>
      <c r="AI13" s="1204"/>
      <c r="AJ13" s="1204"/>
      <c r="AK13" s="1204"/>
      <c r="AL13" s="1204"/>
      <c r="AM13" s="1204"/>
      <c r="AO13" s="695"/>
      <c r="AP13" s="695" t="str">
        <f t="shared" si="0"/>
        <v>Добавить источник для дифференциации</v>
      </c>
      <c r="AQ13" s="695"/>
      <c r="AR13" s="695"/>
    </row>
    <row r="14" spans="1:44" s="1755" customFormat="1" ht="0.75" hidden="1" customHeight="1">
      <c r="A14" s="1198"/>
      <c r="B14" s="1198"/>
      <c r="C14" s="1198"/>
      <c r="D14" s="1198"/>
      <c r="E14" s="2222"/>
      <c r="F14" s="2221"/>
      <c r="G14" s="1198"/>
      <c r="H14" s="1198"/>
      <c r="I14" s="1198"/>
      <c r="J14" s="1198"/>
      <c r="K14" s="1198"/>
      <c r="L14" s="1222"/>
      <c r="M14" s="1205"/>
      <c r="N14" s="1205"/>
      <c r="P14" s="1200"/>
      <c r="Q14" s="1201"/>
      <c r="R14" s="1200"/>
      <c r="S14" s="1206"/>
      <c r="T14" s="1207" t="s">
        <v>1439</v>
      </c>
      <c r="U14" s="1208"/>
      <c r="V14" s="1208"/>
      <c r="W14" s="1208"/>
      <c r="X14" s="1208"/>
      <c r="Y14" s="1208"/>
      <c r="Z14" s="1208"/>
      <c r="AA14" s="1208"/>
      <c r="AB14" s="1208"/>
      <c r="AC14" s="1208"/>
      <c r="AD14" s="1208"/>
      <c r="AE14" s="1208"/>
      <c r="AF14" s="1208"/>
      <c r="AG14" s="1208"/>
      <c r="AH14" s="1208"/>
      <c r="AI14" s="1208"/>
      <c r="AJ14" s="1208"/>
      <c r="AK14" s="1208"/>
      <c r="AL14" s="1208"/>
      <c r="AM14" s="1208"/>
      <c r="AO14" s="695"/>
      <c r="AP14" s="695" t="str">
        <f t="shared" si="0"/>
        <v>Добавить централизованную систему для дифференциации</v>
      </c>
      <c r="AQ14" s="695"/>
      <c r="AR14" s="695"/>
    </row>
    <row r="15" spans="1:44" s="1755" customFormat="1" ht="0.75" hidden="1" customHeight="1">
      <c r="A15" s="1198"/>
      <c r="B15" s="1198"/>
      <c r="C15" s="1198"/>
      <c r="D15" s="1198"/>
      <c r="E15" s="2221"/>
      <c r="F15" s="1198"/>
      <c r="G15" s="1198"/>
      <c r="H15" s="1198"/>
      <c r="I15" s="1198"/>
      <c r="J15" s="1198"/>
      <c r="K15" s="1198"/>
      <c r="L15" s="1222"/>
      <c r="M15" s="1205"/>
      <c r="N15" s="1205"/>
      <c r="P15" s="1200"/>
      <c r="Q15" s="1201"/>
      <c r="R15" s="1200"/>
      <c r="S15" s="1206"/>
      <c r="T15" s="1209" t="s">
        <v>1440</v>
      </c>
      <c r="U15" s="1208"/>
      <c r="V15" s="1208"/>
      <c r="W15" s="1208"/>
      <c r="X15" s="1208"/>
      <c r="Y15" s="1208"/>
      <c r="Z15" s="1208"/>
      <c r="AA15" s="1208"/>
      <c r="AB15" s="1208"/>
      <c r="AC15" s="1208"/>
      <c r="AD15" s="1208"/>
      <c r="AE15" s="1208"/>
      <c r="AF15" s="1208"/>
      <c r="AG15" s="1208"/>
      <c r="AH15" s="1208"/>
      <c r="AI15" s="1208"/>
      <c r="AJ15" s="1208"/>
      <c r="AK15" s="1208"/>
      <c r="AL15" s="1208"/>
      <c r="AM15" s="1208"/>
      <c r="AO15" s="695"/>
      <c r="AP15" s="695" t="str">
        <f t="shared" si="0"/>
        <v>Добавить территорию для дифференциации</v>
      </c>
      <c r="AQ15" s="695"/>
      <c r="AR15" s="695"/>
    </row>
    <row r="16" spans="1:44" ht="14.25" hidden="1" customHeight="1">
      <c r="AC16" s="254"/>
      <c r="AK16" s="254"/>
    </row>
    <row r="17" spans="1:44" ht="14.25" hidden="1" customHeight="1">
      <c r="AD17" s="1668"/>
      <c r="AE17" s="1668"/>
      <c r="AF17" s="1668"/>
      <c r="AG17" s="1669"/>
      <c r="AH17" s="2219"/>
      <c r="AI17" s="2218" t="s">
        <v>62</v>
      </c>
      <c r="AJ17" s="2219"/>
      <c r="AK17" s="2218" t="s">
        <v>62</v>
      </c>
    </row>
    <row r="18" spans="1:44" ht="14.25" hidden="1" customHeight="1">
      <c r="AD18" s="1668"/>
      <c r="AE18" s="1668"/>
      <c r="AF18" s="1668"/>
      <c r="AG18" s="1667" t="str">
        <f>AH17&amp;"-"&amp;AJ17</f>
        <v>-</v>
      </c>
      <c r="AH18" s="2218"/>
      <c r="AI18" s="2218"/>
      <c r="AJ18" s="2218"/>
      <c r="AK18" s="2218"/>
    </row>
    <row r="19" spans="1:44" ht="14.25" hidden="1" customHeight="1">
      <c r="AK19" s="254"/>
    </row>
    <row r="20" spans="1:44" s="1742" customFormat="1" ht="22.5" hidden="1" customHeight="1">
      <c r="L20" s="1212"/>
      <c r="M20" s="1241"/>
      <c r="N20" s="1241"/>
      <c r="O20" s="1246" t="s">
        <v>1480</v>
      </c>
      <c r="P20" s="1241"/>
      <c r="Q20" s="1250"/>
      <c r="R20" s="1250"/>
      <c r="S20" s="643"/>
      <c r="Z20" s="1246"/>
      <c r="AB20" s="1246"/>
      <c r="AC20" s="1245"/>
      <c r="AH20" s="1246"/>
      <c r="AJ20" s="1246"/>
      <c r="AK20" s="1245"/>
      <c r="AN20" s="439"/>
      <c r="AO20" s="439"/>
      <c r="AP20" s="439"/>
      <c r="AQ20" s="439"/>
      <c r="AR20" s="439"/>
    </row>
    <row r="21" spans="1:44" s="1742" customFormat="1" ht="14.25" hidden="1" customHeight="1">
      <c r="L21" s="1212"/>
      <c r="M21" s="1241"/>
      <c r="N21" s="1241"/>
      <c r="O21" s="1241"/>
      <c r="P21" s="1241"/>
      <c r="Q21" s="1250"/>
      <c r="R21" s="1250"/>
      <c r="S21" s="643"/>
      <c r="AC21" s="1245"/>
      <c r="AK21" s="1245"/>
      <c r="AN21" s="439"/>
      <c r="AO21" s="439"/>
      <c r="AP21" s="439"/>
      <c r="AQ21" s="439"/>
      <c r="AR21" s="439"/>
    </row>
    <row r="22" spans="1:44" s="1742" customFormat="1" ht="14.25" hidden="1" customHeight="1">
      <c r="L22" s="1212"/>
      <c r="M22" s="1241"/>
      <c r="N22" s="1241"/>
      <c r="O22" s="1243" t="s">
        <v>1481</v>
      </c>
      <c r="P22" s="1241"/>
      <c r="Q22" s="1250"/>
      <c r="R22" s="1250"/>
      <c r="S22" s="643"/>
      <c r="T22" s="1034" t="s">
        <v>1482</v>
      </c>
      <c r="AA22" s="111" t="s">
        <v>1483</v>
      </c>
      <c r="AC22" s="111" t="s">
        <v>1484</v>
      </c>
      <c r="AD22" s="1034" t="s">
        <v>1482</v>
      </c>
      <c r="AI22" s="111" t="s">
        <v>1485</v>
      </c>
      <c r="AK22" s="111" t="s">
        <v>1484</v>
      </c>
      <c r="AN22" s="439"/>
      <c r="AO22" s="439"/>
      <c r="AP22" s="439"/>
      <c r="AQ22" s="439"/>
      <c r="AR22" s="439"/>
    </row>
    <row r="23" spans="1:44" ht="14.25" hidden="1" customHeight="1">
      <c r="O23" s="1243"/>
    </row>
    <row r="24" spans="1:44" ht="14.25" hidden="1" customHeight="1">
      <c r="O24" s="1243"/>
    </row>
    <row r="25" spans="1:44" ht="14.25" customHeight="1">
      <c r="Q25" s="304"/>
      <c r="R25" s="304"/>
      <c r="S25" s="1156"/>
      <c r="T25" s="289"/>
      <c r="U25" s="289"/>
      <c r="V25" s="437"/>
      <c r="W25" s="437"/>
      <c r="X25" s="437"/>
      <c r="Y25" s="437"/>
      <c r="Z25" s="437"/>
      <c r="AA25" s="437"/>
      <c r="AB25" s="437"/>
      <c r="AC25" s="437"/>
      <c r="AD25" s="437"/>
      <c r="AE25" s="437"/>
      <c r="AF25" s="437"/>
      <c r="AG25" s="437"/>
      <c r="AH25" s="437"/>
      <c r="AI25" s="437"/>
      <c r="AJ25" s="437"/>
      <c r="AK25" s="437"/>
    </row>
    <row r="26" spans="1:44" ht="64.5" customHeight="1">
      <c r="Q26" s="304"/>
      <c r="R26" s="304"/>
      <c r="S26" s="2065" t="str">
        <f>IF(TEMPLATE_GROUP="P",PT_P_FORM_HEAT_5_NAME_FORM,PT_R_FORM_HEAT_22_NAME_FORM)</f>
        <v>Форма 22. Информация о расчетной величине тарифов на теплоноситель, поставляемый теплоснабжающими организациями потребителям, другим теплоснабжающим организациям, тарифов на услуги по передаче тепловой энергии, теплоносителя, о расчетной величине тарифов на теплоноситель в виде воды, поставляемый другим теплоснабжающим организациям в ценовых зонах теплоснабжения с использованием открытых систем теплоснабжения (горячего водоснабжения), за исключением случая, предусмотренного пунктом 6 части 1 статьи 23.4 Федерального закона "О теплоснабжении" &lt;1&gt;</v>
      </c>
      <c r="T26" s="2065"/>
      <c r="U26" s="2065"/>
      <c r="V26" s="2065"/>
      <c r="W26" s="2065"/>
      <c r="X26" s="2065"/>
      <c r="Y26" s="2065"/>
      <c r="Z26" s="2065"/>
      <c r="AA26" s="2065"/>
      <c r="AB26" s="2065"/>
      <c r="AC26" s="2065"/>
      <c r="AD26" s="2065"/>
      <c r="AE26" s="2065"/>
      <c r="AF26" s="2065"/>
      <c r="AG26" s="2065"/>
      <c r="AH26" s="2065"/>
      <c r="AI26" s="2065"/>
      <c r="AJ26" s="2065"/>
      <c r="AK26" s="1114"/>
    </row>
    <row r="27" spans="1:44" ht="14.25" customHeight="1">
      <c r="Q27" s="304"/>
      <c r="R27" s="304"/>
      <c r="S27" s="2088" t="str">
        <f>IF(org=0,"Не определено",org)</f>
        <v>МУП г. Астрахани "Коммунэнерго"</v>
      </c>
      <c r="T27" s="2088"/>
      <c r="U27" s="2088"/>
      <c r="V27" s="2088"/>
      <c r="W27" s="2088"/>
      <c r="X27" s="2088"/>
      <c r="Y27" s="2088"/>
      <c r="Z27" s="2088"/>
      <c r="AA27" s="2088"/>
      <c r="AB27" s="2088"/>
      <c r="AC27" s="2088"/>
      <c r="AD27" s="2088"/>
      <c r="AE27" s="2088"/>
      <c r="AF27" s="2088"/>
      <c r="AG27" s="2088"/>
      <c r="AH27" s="2088"/>
      <c r="AI27" s="2088"/>
      <c r="AJ27" s="2088"/>
      <c r="AK27" s="1114"/>
    </row>
    <row r="28" spans="1:44" ht="14.25" hidden="1" customHeight="1">
      <c r="Q28" s="304"/>
      <c r="R28" s="304"/>
      <c r="S28" s="1156"/>
      <c r="T28" s="289"/>
      <c r="U28" s="289"/>
      <c r="V28" s="248"/>
      <c r="W28" s="248"/>
      <c r="X28" s="248"/>
      <c r="Y28" s="248"/>
      <c r="Z28" s="248"/>
      <c r="AA28" s="248"/>
      <c r="AB28" s="248"/>
      <c r="AC28" s="248"/>
      <c r="AD28" s="248"/>
      <c r="AE28" s="248"/>
      <c r="AF28" s="248"/>
      <c r="AG28" s="248"/>
      <c r="AH28" s="248"/>
      <c r="AI28" s="248"/>
      <c r="AJ28" s="248"/>
      <c r="AK28" s="248"/>
      <c r="AL28" s="437"/>
    </row>
    <row r="29" spans="1:44" s="1933" customFormat="1" ht="25.5" hidden="1" customHeight="1">
      <c r="A29" s="1247"/>
      <c r="B29" s="1247"/>
      <c r="C29" s="1247"/>
      <c r="D29" s="1247"/>
      <c r="E29" s="1247"/>
      <c r="F29" s="1247"/>
      <c r="G29" s="1247"/>
      <c r="H29" s="1247"/>
      <c r="I29" s="1247"/>
      <c r="J29" s="1247"/>
      <c r="K29" s="1247"/>
      <c r="L29" s="1248"/>
      <c r="M29" s="1247"/>
      <c r="N29" s="1247"/>
      <c r="O29" s="1247"/>
      <c r="S29" s="2213" t="s">
        <v>38</v>
      </c>
      <c r="T29" s="2213"/>
      <c r="U29" s="1251"/>
      <c r="V29" s="2214" t="str">
        <f>IF(TITLE_NAME_OR_PR_CHANGE="",IF(TITLE_NAME_OR_PR="","",TITLE_NAME_OR_PR),TITLE_NAME_OR_PR_CHANGE)</f>
        <v/>
      </c>
      <c r="W29" s="2214"/>
      <c r="X29" s="2214"/>
      <c r="Y29" s="2214"/>
      <c r="Z29" s="2214"/>
      <c r="AA29" s="2214"/>
      <c r="AB29" s="2214"/>
      <c r="AC29" s="253"/>
      <c r="AD29" s="2214" t="str">
        <f>IF(TITLE_NAME_OR_PR_CHANGE="",IF(TITLE_NAME_OR_PR="","",TITLE_NAME_OR_PR),TITLE_NAME_OR_PR_CHANGE)</f>
        <v/>
      </c>
      <c r="AE29" s="2214"/>
      <c r="AF29" s="2214"/>
      <c r="AG29" s="2214"/>
      <c r="AH29" s="2214"/>
      <c r="AI29" s="2214"/>
      <c r="AJ29" s="2214"/>
      <c r="AK29" s="253"/>
      <c r="AL29" s="253"/>
      <c r="AM29" s="199"/>
      <c r="AN29" s="295"/>
      <c r="AO29" s="295"/>
      <c r="AP29" s="295"/>
      <c r="AQ29" s="295"/>
      <c r="AR29" s="295"/>
    </row>
    <row r="30" spans="1:44" s="1933" customFormat="1" ht="18.75" hidden="1" customHeight="1">
      <c r="A30" s="1247"/>
      <c r="B30" s="1247"/>
      <c r="C30" s="1247"/>
      <c r="D30" s="1247"/>
      <c r="E30" s="1247"/>
      <c r="F30" s="1247"/>
      <c r="G30" s="1247"/>
      <c r="H30" s="1247"/>
      <c r="I30" s="1247"/>
      <c r="J30" s="1247"/>
      <c r="K30" s="1247"/>
      <c r="L30" s="1248"/>
      <c r="M30" s="1247"/>
      <c r="N30" s="1247"/>
      <c r="O30" s="1247"/>
      <c r="S30" s="2213" t="s">
        <v>1486</v>
      </c>
      <c r="T30" s="2213"/>
      <c r="U30" s="1251"/>
      <c r="V30" s="2214" t="str">
        <f>IF(TITLE_DATE_CHANGE_PERIOD="",IF(TITLE_DATE_PR="","",TITLE_DATE_PR),TITLE_DATE_CHANGE_PERIOD)</f>
        <v/>
      </c>
      <c r="W30" s="2214"/>
      <c r="X30" s="2214"/>
      <c r="Y30" s="2214"/>
      <c r="Z30" s="2214"/>
      <c r="AA30" s="2214"/>
      <c r="AB30" s="2214"/>
      <c r="AC30" s="253"/>
      <c r="AD30" s="2214" t="str">
        <f>IF(TITLE_DATE_CHANGE_PERIOD="",IF(TITLE_DATE_PR="","",TITLE_DATE_PR),TITLE_DATE_CHANGE_PERIOD)</f>
        <v/>
      </c>
      <c r="AE30" s="2214"/>
      <c r="AF30" s="2214"/>
      <c r="AG30" s="2214"/>
      <c r="AH30" s="2214"/>
      <c r="AI30" s="2214"/>
      <c r="AJ30" s="2214"/>
      <c r="AK30" s="253"/>
      <c r="AL30" s="253"/>
      <c r="AM30" s="199"/>
      <c r="AN30" s="295"/>
      <c r="AO30" s="295"/>
      <c r="AP30" s="295"/>
      <c r="AQ30" s="295"/>
      <c r="AR30" s="295"/>
    </row>
    <row r="31" spans="1:44" s="1933" customFormat="1" ht="18.75" hidden="1" customHeight="1">
      <c r="A31" s="1247"/>
      <c r="B31" s="1247"/>
      <c r="C31" s="1247"/>
      <c r="D31" s="1247"/>
      <c r="E31" s="1247"/>
      <c r="F31" s="1247"/>
      <c r="G31" s="1247"/>
      <c r="H31" s="1247"/>
      <c r="I31" s="1247"/>
      <c r="J31" s="1247"/>
      <c r="K31" s="1247"/>
      <c r="L31" s="1248"/>
      <c r="M31" s="1247"/>
      <c r="N31" s="1247"/>
      <c r="O31" s="1247"/>
      <c r="S31" s="2213" t="s">
        <v>1487</v>
      </c>
      <c r="T31" s="2213"/>
      <c r="U31" s="1251"/>
      <c r="V31" s="2214" t="str">
        <f>IF(TITLE_NUMBER_PR_CHANGE="",IF(TITLE_NUMBER_PR="","",TITLE_NUMBER_PR),TITLE_NUMBER_PR_CHANGE)</f>
        <v/>
      </c>
      <c r="W31" s="2214"/>
      <c r="X31" s="2214"/>
      <c r="Y31" s="2214"/>
      <c r="Z31" s="2214"/>
      <c r="AA31" s="2214"/>
      <c r="AB31" s="2214"/>
      <c r="AC31" s="253"/>
      <c r="AD31" s="2214" t="str">
        <f>IF(TITLE_NUMBER_PR_CHANGE="",IF(TITLE_NUMBER_PR="","",TITLE_NUMBER_PR),TITLE_NUMBER_PR_CHANGE)</f>
        <v/>
      </c>
      <c r="AE31" s="2214"/>
      <c r="AF31" s="2214"/>
      <c r="AG31" s="2214"/>
      <c r="AH31" s="2214"/>
      <c r="AI31" s="2214"/>
      <c r="AJ31" s="2214"/>
      <c r="AK31" s="253"/>
      <c r="AL31" s="253"/>
      <c r="AM31" s="199"/>
      <c r="AN31" s="295"/>
      <c r="AO31" s="295"/>
      <c r="AP31" s="295"/>
      <c r="AQ31" s="295"/>
      <c r="AR31" s="295"/>
    </row>
    <row r="32" spans="1:44" s="1933" customFormat="1" ht="18.75" hidden="1" customHeight="1">
      <c r="A32" s="1247"/>
      <c r="B32" s="1247"/>
      <c r="C32" s="1247"/>
      <c r="D32" s="1247"/>
      <c r="E32" s="1247"/>
      <c r="F32" s="1247"/>
      <c r="G32" s="1247"/>
      <c r="H32" s="1247"/>
      <c r="I32" s="1247"/>
      <c r="J32" s="1247"/>
      <c r="K32" s="1247"/>
      <c r="L32" s="1248"/>
      <c r="M32" s="1247"/>
      <c r="N32" s="1247"/>
      <c r="O32" s="1247"/>
      <c r="S32" s="2213" t="s">
        <v>39</v>
      </c>
      <c r="T32" s="2213"/>
      <c r="U32" s="1251"/>
      <c r="V32" s="2214" t="str">
        <f>IF(TITLE_IST_PUB_CHANGE="",IF(TITLE_IST_PUB="","",TITLE_IST_PUB),TITLE_IST_PUB_CHANGE)</f>
        <v/>
      </c>
      <c r="W32" s="2214"/>
      <c r="X32" s="2214"/>
      <c r="Y32" s="2214"/>
      <c r="Z32" s="2214"/>
      <c r="AA32" s="2214"/>
      <c r="AB32" s="2214"/>
      <c r="AC32" s="253"/>
      <c r="AD32" s="2214" t="str">
        <f>IF(TITLE_IST_PUB_CHANGE="",IF(TITLE_IST_PUB="","",TITLE_IST_PUB),TITLE_IST_PUB_CHANGE)</f>
        <v/>
      </c>
      <c r="AE32" s="2214"/>
      <c r="AF32" s="2214"/>
      <c r="AG32" s="2214"/>
      <c r="AH32" s="2214"/>
      <c r="AI32" s="2214"/>
      <c r="AJ32" s="2214"/>
      <c r="AK32" s="253"/>
      <c r="AL32" s="253"/>
      <c r="AM32" s="199"/>
      <c r="AN32" s="295"/>
      <c r="AO32" s="295"/>
      <c r="AP32" s="295"/>
      <c r="AQ32" s="295"/>
      <c r="AR32" s="295"/>
    </row>
    <row r="33" spans="1:44" ht="14.25" hidden="1" customHeight="1">
      <c r="Q33" s="304"/>
      <c r="R33" s="304"/>
      <c r="S33" s="1156"/>
      <c r="T33" s="289"/>
      <c r="U33" s="289"/>
      <c r="V33" s="248"/>
      <c r="W33" s="248"/>
      <c r="X33" s="248"/>
      <c r="Y33" s="248"/>
      <c r="Z33" s="248"/>
      <c r="AA33" s="248"/>
      <c r="AB33" s="248"/>
      <c r="AC33" s="248"/>
      <c r="AD33" s="248"/>
      <c r="AE33" s="248"/>
      <c r="AF33" s="248"/>
      <c r="AG33" s="248"/>
      <c r="AH33" s="248"/>
      <c r="AI33" s="248"/>
      <c r="AJ33" s="248"/>
      <c r="AK33" s="248"/>
      <c r="AL33" s="437"/>
    </row>
    <row r="34" spans="1:44" s="1933" customFormat="1" ht="18.75" hidden="1" customHeight="1">
      <c r="A34" s="1247"/>
      <c r="B34" s="1247"/>
      <c r="C34" s="1247"/>
      <c r="D34" s="1247"/>
      <c r="E34" s="1247"/>
      <c r="F34" s="1247"/>
      <c r="G34" s="1247"/>
      <c r="H34" s="1247"/>
      <c r="I34" s="1247"/>
      <c r="J34" s="1247"/>
      <c r="K34" s="1247"/>
      <c r="L34" s="1248"/>
      <c r="M34" s="1247"/>
      <c r="N34" s="1247"/>
      <c r="O34" s="1247"/>
      <c r="S34" s="2213" t="s">
        <v>1488</v>
      </c>
      <c r="T34" s="2213"/>
      <c r="U34" s="1251"/>
      <c r="V34" s="2214" t="str">
        <f>IF(TITLE_DATE_CHANGE_PERIOD="",IF(TITLE_DATE_PR="","",TITLE_DATE_PR),TITLE_DATE_CHANGE_PERIOD)</f>
        <v/>
      </c>
      <c r="W34" s="2214"/>
      <c r="X34" s="2214"/>
      <c r="Y34" s="2214"/>
      <c r="Z34" s="2214"/>
      <c r="AA34" s="2214"/>
      <c r="AB34" s="2214"/>
      <c r="AC34" s="253"/>
      <c r="AD34" s="2214" t="str">
        <f>IF(TITLE_DATE_CHANGE_PERIOD="",IF(TITLE_DATE_PR="","",TITLE_DATE_PR),TITLE_DATE_CHANGE_PERIOD)</f>
        <v/>
      </c>
      <c r="AE34" s="2214"/>
      <c r="AF34" s="2214"/>
      <c r="AG34" s="2214"/>
      <c r="AH34" s="2214"/>
      <c r="AI34" s="2214"/>
      <c r="AJ34" s="2214"/>
      <c r="AK34" s="253"/>
      <c r="AL34" s="253"/>
      <c r="AM34" s="199"/>
      <c r="AN34" s="295"/>
      <c r="AO34" s="295"/>
      <c r="AP34" s="295"/>
      <c r="AQ34" s="295"/>
      <c r="AR34" s="295"/>
    </row>
    <row r="35" spans="1:44" s="1933" customFormat="1" ht="18.75" hidden="1" customHeight="1">
      <c r="A35" s="1247"/>
      <c r="B35" s="1247"/>
      <c r="C35" s="1247"/>
      <c r="D35" s="1247"/>
      <c r="E35" s="1247"/>
      <c r="F35" s="1247"/>
      <c r="G35" s="1247"/>
      <c r="H35" s="1247"/>
      <c r="I35" s="1247"/>
      <c r="J35" s="1247"/>
      <c r="K35" s="1247"/>
      <c r="L35" s="1248"/>
      <c r="M35" s="1247"/>
      <c r="N35" s="1247"/>
      <c r="O35" s="1247"/>
      <c r="S35" s="2213" t="s">
        <v>1489</v>
      </c>
      <c r="T35" s="2213"/>
      <c r="U35" s="1251"/>
      <c r="V35" s="2214" t="str">
        <f>IF(TITLE_NUMBER_PR_CHANGE="",IF(TITLE_NUMBER_PR="","",TITLE_NUMBER_PR),TITLE_NUMBER_PR_CHANGE)</f>
        <v/>
      </c>
      <c r="W35" s="2214"/>
      <c r="X35" s="2214"/>
      <c r="Y35" s="2214"/>
      <c r="Z35" s="2214"/>
      <c r="AA35" s="2214"/>
      <c r="AB35" s="2214"/>
      <c r="AC35" s="253"/>
      <c r="AD35" s="2214" t="str">
        <f>IF(TITLE_NUMBER_PR_CHANGE="",IF(TITLE_NUMBER_PR="","",TITLE_NUMBER_PR),TITLE_NUMBER_PR_CHANGE)</f>
        <v/>
      </c>
      <c r="AE35" s="2214"/>
      <c r="AF35" s="2214"/>
      <c r="AG35" s="2214"/>
      <c r="AH35" s="2214"/>
      <c r="AI35" s="2214"/>
      <c r="AJ35" s="2214"/>
      <c r="AK35" s="253"/>
      <c r="AL35" s="253"/>
      <c r="AM35" s="199"/>
      <c r="AN35" s="295"/>
      <c r="AO35" s="295"/>
      <c r="AP35" s="295"/>
      <c r="AQ35" s="295"/>
      <c r="AR35" s="295"/>
    </row>
    <row r="36" spans="1:44" s="1933" customFormat="1" ht="0" hidden="1" customHeight="1">
      <c r="A36" s="1247"/>
      <c r="B36" s="1247"/>
      <c r="C36" s="1247"/>
      <c r="D36" s="1247"/>
      <c r="E36" s="1247"/>
      <c r="F36" s="1247"/>
      <c r="G36" s="1247"/>
      <c r="H36" s="1247"/>
      <c r="I36" s="1247"/>
      <c r="J36" s="1247"/>
      <c r="K36" s="1247"/>
      <c r="L36" s="1248"/>
      <c r="M36" s="1247"/>
      <c r="N36" s="1247"/>
      <c r="O36" s="1247"/>
      <c r="S36" s="250"/>
      <c r="T36" s="250"/>
      <c r="U36" s="1223"/>
      <c r="V36" s="253"/>
      <c r="W36" s="253"/>
      <c r="X36" s="253"/>
      <c r="Y36" s="253"/>
      <c r="Z36" s="253"/>
      <c r="AA36" s="253"/>
      <c r="AB36" s="253"/>
      <c r="AC36" s="197" t="s">
        <v>1490</v>
      </c>
      <c r="AD36" s="253"/>
      <c r="AE36" s="253"/>
      <c r="AF36" s="253"/>
      <c r="AG36" s="253"/>
      <c r="AH36" s="253"/>
      <c r="AI36" s="253"/>
      <c r="AJ36" s="253"/>
      <c r="AK36" s="197" t="s">
        <v>1490</v>
      </c>
      <c r="AN36" s="295"/>
      <c r="AO36" s="295"/>
      <c r="AP36" s="295"/>
      <c r="AQ36" s="295"/>
      <c r="AR36" s="295"/>
    </row>
    <row r="37" spans="1:44" ht="14.25" customHeight="1">
      <c r="Q37" s="304"/>
      <c r="R37" s="304"/>
      <c r="S37" s="1156"/>
      <c r="T37" s="289"/>
      <c r="U37" s="1115"/>
      <c r="V37" s="2232"/>
      <c r="W37" s="2232"/>
      <c r="X37" s="2232"/>
      <c r="Y37" s="2232"/>
      <c r="Z37" s="2232"/>
      <c r="AA37" s="2232"/>
      <c r="AB37" s="2232"/>
      <c r="AC37" s="2232"/>
      <c r="AD37" s="2232"/>
      <c r="AE37" s="2232"/>
      <c r="AF37" s="2232"/>
      <c r="AG37" s="2232"/>
      <c r="AH37" s="2232"/>
      <c r="AI37" s="2232"/>
      <c r="AJ37" s="2232"/>
      <c r="AK37" s="2232"/>
    </row>
    <row r="38" spans="1:44" ht="14.25" customHeight="1">
      <c r="Q38" s="304"/>
      <c r="R38" s="304"/>
      <c r="S38" s="2007" t="s">
        <v>292</v>
      </c>
      <c r="T38" s="2007"/>
      <c r="U38" s="2007"/>
      <c r="V38" s="2007"/>
      <c r="W38" s="2007"/>
      <c r="X38" s="2007"/>
      <c r="Y38" s="2007"/>
      <c r="Z38" s="2007"/>
      <c r="AA38" s="2007"/>
      <c r="AB38" s="2007"/>
      <c r="AC38" s="2007"/>
      <c r="AD38" s="2007"/>
      <c r="AE38" s="2007"/>
      <c r="AF38" s="2007"/>
      <c r="AG38" s="2007"/>
      <c r="AH38" s="2007"/>
      <c r="AI38" s="2007"/>
      <c r="AJ38" s="2007"/>
      <c r="AK38" s="2007"/>
      <c r="AL38" s="2007"/>
      <c r="AM38" s="2007" t="s">
        <v>293</v>
      </c>
    </row>
    <row r="39" spans="1:44" ht="14.25" customHeight="1">
      <c r="Q39" s="304"/>
      <c r="R39" s="304"/>
      <c r="S39" s="2233" t="s">
        <v>87</v>
      </c>
      <c r="T39" s="2097" t="s">
        <v>1491</v>
      </c>
      <c r="U39" s="219"/>
      <c r="V39" s="2234" t="s">
        <v>1492</v>
      </c>
      <c r="W39" s="2235"/>
      <c r="X39" s="2235"/>
      <c r="Y39" s="2235"/>
      <c r="Z39" s="2235"/>
      <c r="AA39" s="2235"/>
      <c r="AB39" s="2236"/>
      <c r="AC39" s="2237" t="s">
        <v>1493</v>
      </c>
      <c r="AD39" s="2234" t="s">
        <v>1492</v>
      </c>
      <c r="AE39" s="2235"/>
      <c r="AF39" s="2235"/>
      <c r="AG39" s="2235"/>
      <c r="AH39" s="2235"/>
      <c r="AI39" s="2235"/>
      <c r="AJ39" s="2236"/>
      <c r="AK39" s="2237" t="s">
        <v>1494</v>
      </c>
      <c r="AL39" s="2240" t="s">
        <v>1495</v>
      </c>
      <c r="AM39" s="2007"/>
    </row>
    <row r="40" spans="1:44" ht="33.75" customHeight="1">
      <c r="Q40" s="304"/>
      <c r="R40" s="304"/>
      <c r="S40" s="2233"/>
      <c r="T40" s="2097"/>
      <c r="U40" s="924"/>
      <c r="V40" s="2066" t="s">
        <v>1496</v>
      </c>
      <c r="W40" s="2229"/>
      <c r="X40" s="1989" t="s">
        <v>1498</v>
      </c>
      <c r="Y40" s="1988"/>
      <c r="Z40" s="1989" t="s">
        <v>1499</v>
      </c>
      <c r="AA40" s="1994"/>
      <c r="AB40" s="1988"/>
      <c r="AC40" s="2238"/>
      <c r="AD40" s="2066" t="s">
        <v>1496</v>
      </c>
      <c r="AE40" s="2229"/>
      <c r="AF40" s="1989" t="s">
        <v>1498</v>
      </c>
      <c r="AG40" s="1988"/>
      <c r="AH40" s="1989" t="s">
        <v>1499</v>
      </c>
      <c r="AI40" s="1994"/>
      <c r="AJ40" s="1988"/>
      <c r="AK40" s="2238"/>
      <c r="AL40" s="2241"/>
      <c r="AM40" s="2007"/>
    </row>
    <row r="41" spans="1:44" ht="33.75" customHeight="1">
      <c r="A41" s="1249"/>
      <c r="B41" s="1249" t="s">
        <v>136</v>
      </c>
      <c r="C41" s="1249" t="s">
        <v>137</v>
      </c>
      <c r="D41" s="1249" t="s">
        <v>138</v>
      </c>
      <c r="E41" s="1243" t="s">
        <v>1500</v>
      </c>
      <c r="F41" s="1243" t="s">
        <v>1501</v>
      </c>
      <c r="G41" s="1243" t="s">
        <v>1502</v>
      </c>
      <c r="H41" s="1243" t="s">
        <v>1503</v>
      </c>
      <c r="I41" s="1243" t="s">
        <v>1504</v>
      </c>
      <c r="J41" s="1243" t="s">
        <v>1505</v>
      </c>
      <c r="K41" s="1243" t="s">
        <v>1506</v>
      </c>
      <c r="L41" s="1243" t="s">
        <v>1481</v>
      </c>
      <c r="Q41" s="304"/>
      <c r="R41" s="304"/>
      <c r="S41" s="2233"/>
      <c r="T41" s="2097"/>
      <c r="U41" s="220"/>
      <c r="V41" s="2122"/>
      <c r="W41" s="2230"/>
      <c r="X41" s="1090" t="s">
        <v>1507</v>
      </c>
      <c r="Y41" s="1090" t="s">
        <v>1508</v>
      </c>
      <c r="Z41" s="1221" t="s">
        <v>1509</v>
      </c>
      <c r="AA41" s="2103" t="s">
        <v>1510</v>
      </c>
      <c r="AB41" s="2117"/>
      <c r="AC41" s="2239"/>
      <c r="AD41" s="2122"/>
      <c r="AE41" s="2230"/>
      <c r="AF41" s="1090" t="s">
        <v>1507</v>
      </c>
      <c r="AG41" s="1090" t="s">
        <v>1508</v>
      </c>
      <c r="AH41" s="1221" t="s">
        <v>1509</v>
      </c>
      <c r="AI41" s="2103" t="s">
        <v>1510</v>
      </c>
      <c r="AJ41" s="2117"/>
      <c r="AK41" s="2239"/>
      <c r="AL41" s="2242"/>
      <c r="AM41" s="2007"/>
    </row>
    <row r="42" spans="1:44" s="1708" customFormat="1" ht="11.25" hidden="1" customHeight="1">
      <c r="A42" s="1249"/>
      <c r="B42" s="1249"/>
      <c r="C42" s="1249"/>
      <c r="D42" s="1249"/>
      <c r="E42" s="1249"/>
      <c r="F42" s="1249"/>
      <c r="G42" s="1249"/>
      <c r="H42" s="1249"/>
      <c r="I42" s="1249"/>
      <c r="J42" s="1249"/>
      <c r="K42" s="1249"/>
      <c r="L42" s="1243"/>
      <c r="M42" s="1241"/>
      <c r="N42" s="1241"/>
      <c r="O42" s="1241"/>
      <c r="P42" s="1117"/>
      <c r="Q42" s="1118"/>
      <c r="R42" s="1133">
        <v>1</v>
      </c>
      <c r="S42" s="1158" t="s">
        <v>108</v>
      </c>
      <c r="T42" s="1134" t="s">
        <v>109</v>
      </c>
      <c r="U42" s="1116" t="str">
        <f ca="1">OFFSET(U42,0,-1)</f>
        <v>2</v>
      </c>
      <c r="V42" s="1218">
        <f ca="1">OFFSET(V42,0,-1)+1</f>
        <v>3</v>
      </c>
      <c r="W42" s="1218"/>
      <c r="X42" s="1218">
        <f ca="1">OFFSET(X42,0,-1)+1</f>
        <v>1</v>
      </c>
      <c r="Y42" s="1218">
        <f ca="1">OFFSET(Y42,0,-1)+1</f>
        <v>2</v>
      </c>
      <c r="Z42" s="1218">
        <f ca="1">OFFSET(Z42,0,-1)+1</f>
        <v>3</v>
      </c>
      <c r="AA42" s="2231">
        <f ca="1">OFFSET(AA42,0,-1)+1</f>
        <v>4</v>
      </c>
      <c r="AB42" s="2231"/>
      <c r="AC42" s="1218">
        <f ca="1">OFFSET(AC42,0,-2)+1</f>
        <v>5</v>
      </c>
      <c r="AD42" s="1218">
        <f ca="1">OFFSET(AD42,0,-1)+1</f>
        <v>6</v>
      </c>
      <c r="AE42" s="1218"/>
      <c r="AF42" s="1218">
        <f ca="1">OFFSET(AF42,0,-1)+1</f>
        <v>1</v>
      </c>
      <c r="AG42" s="1218">
        <f ca="1">OFFSET(AG42,0,-1)+1</f>
        <v>2</v>
      </c>
      <c r="AH42" s="1218">
        <f ca="1">OFFSET(AH42,0,-1)+1</f>
        <v>3</v>
      </c>
      <c r="AI42" s="2231">
        <f ca="1">OFFSET(AI42,0,-1)+1</f>
        <v>4</v>
      </c>
      <c r="AJ42" s="2231"/>
      <c r="AK42" s="1218">
        <f ca="1">OFFSET(AK42,0,-2)+1</f>
        <v>5</v>
      </c>
      <c r="AL42" s="1116">
        <f ca="1">OFFSET(AL42,0,-1)</f>
        <v>5</v>
      </c>
      <c r="AM42" s="1218">
        <f ca="1">OFFSET(AM42,0,-1)+1</f>
        <v>6</v>
      </c>
      <c r="AN42" s="439"/>
      <c r="AO42" s="439"/>
      <c r="AP42" s="439"/>
      <c r="AQ42" s="439"/>
      <c r="AR42" s="439"/>
    </row>
    <row r="43" spans="1:44" ht="21" customHeight="1">
      <c r="A43" s="1242" t="s">
        <v>171</v>
      </c>
      <c r="B43" s="1242"/>
      <c r="C43" s="1242"/>
      <c r="D43" s="1242"/>
      <c r="E43" s="2221">
        <v>1</v>
      </c>
      <c r="F43" s="1242"/>
      <c r="G43" s="1242"/>
      <c r="H43" s="1242"/>
      <c r="I43" s="1242"/>
      <c r="J43" s="1242"/>
      <c r="K43" s="1242"/>
      <c r="L43" s="1243"/>
      <c r="M43" s="1244"/>
      <c r="N43" s="1244"/>
      <c r="O43" s="1244"/>
      <c r="P43" s="285"/>
      <c r="Q43" s="284"/>
      <c r="R43" s="279"/>
      <c r="S43" s="1219">
        <f>INDEX(PT_DIFFERENTIATION_NUM_NTAR,MATCH(A43,PT_DIFFERENTIATION_NTAR_ID,0))</f>
        <v>0</v>
      </c>
      <c r="T43" s="216" t="s">
        <v>124</v>
      </c>
      <c r="U43" s="218"/>
      <c r="V43" s="2215"/>
      <c r="W43" s="2216"/>
      <c r="X43" s="2216"/>
      <c r="Y43" s="2216"/>
      <c r="Z43" s="2216"/>
      <c r="AA43" s="2216"/>
      <c r="AB43" s="2216"/>
      <c r="AC43" s="2217"/>
      <c r="AD43" s="2215" t="str">
        <f>INDEX(PT_DIFFERENTIATION_NTAR,MATCH(A43,PT_DIFFERENTIATION_NTAR_ID,0))</f>
        <v/>
      </c>
      <c r="AE43" s="2216"/>
      <c r="AF43" s="2216"/>
      <c r="AG43" s="2216"/>
      <c r="AH43" s="2216"/>
      <c r="AI43" s="2216"/>
      <c r="AJ43" s="2216"/>
      <c r="AK43" s="2216"/>
      <c r="AL43" s="2217"/>
      <c r="AM43" s="1138" t="s">
        <v>1462</v>
      </c>
      <c r="AO43" s="428"/>
      <c r="AP43" s="428" t="str">
        <f t="shared" ref="AP43:AP57" si="1">IF(T43="","",T43)</f>
        <v>Наименование тарифа</v>
      </c>
      <c r="AQ43" s="428"/>
      <c r="AR43" s="428"/>
    </row>
    <row r="44" spans="1:44" ht="21" customHeight="1">
      <c r="A44" s="1242" t="s">
        <v>171</v>
      </c>
      <c r="B44" s="1242" t="s">
        <v>172</v>
      </c>
      <c r="C44" s="1242"/>
      <c r="D44" s="1242"/>
      <c r="E44" s="2222"/>
      <c r="F44" s="2221">
        <v>1</v>
      </c>
      <c r="G44" s="1242"/>
      <c r="H44" s="1242"/>
      <c r="I44" s="1242"/>
      <c r="J44" s="1242"/>
      <c r="K44" s="1242"/>
      <c r="L44" s="1243"/>
      <c r="M44" s="1244"/>
      <c r="N44" s="1244"/>
      <c r="O44" s="1244"/>
      <c r="P44" s="1215"/>
      <c r="Q44" s="276"/>
      <c r="R44" s="277"/>
      <c r="S44" s="1219" t="str">
        <f>INDEX(PT_DIFFERENTIATION_NUM_TER,MATCH(B44,PT_DIFFERENTIATION_TER_ID,0))</f>
        <v>.</v>
      </c>
      <c r="T44" s="228" t="s">
        <v>1463</v>
      </c>
      <c r="U44" s="218"/>
      <c r="V44" s="2215"/>
      <c r="W44" s="2216"/>
      <c r="X44" s="2216"/>
      <c r="Y44" s="2216"/>
      <c r="Z44" s="2216"/>
      <c r="AA44" s="2216"/>
      <c r="AB44" s="2216"/>
      <c r="AC44" s="2217"/>
      <c r="AD44" s="2215" t="str">
        <f>INDEX(PT_DIFFERENTIATION_TER,MATCH(B44,PT_DIFFERENTIATION_TER_ID,0))</f>
        <v/>
      </c>
      <c r="AE44" s="2216"/>
      <c r="AF44" s="2216"/>
      <c r="AG44" s="2216"/>
      <c r="AH44" s="2216"/>
      <c r="AI44" s="2216"/>
      <c r="AJ44" s="2216"/>
      <c r="AK44" s="2216"/>
      <c r="AL44" s="2217"/>
      <c r="AM44" s="1138" t="s">
        <v>1464</v>
      </c>
      <c r="AO44" s="428"/>
      <c r="AP44" s="428" t="str">
        <f t="shared" si="1"/>
        <v>Территория действия тарифа</v>
      </c>
      <c r="AQ44" s="428"/>
      <c r="AR44" s="428"/>
    </row>
    <row r="45" spans="1:44" ht="23.25" customHeight="1">
      <c r="A45" s="1242" t="s">
        <v>171</v>
      </c>
      <c r="B45" s="1242" t="s">
        <v>172</v>
      </c>
      <c r="C45" s="1242" t="s">
        <v>173</v>
      </c>
      <c r="D45" s="1242"/>
      <c r="E45" s="2222"/>
      <c r="F45" s="2222"/>
      <c r="G45" s="2221">
        <v>1</v>
      </c>
      <c r="H45" s="1242"/>
      <c r="I45" s="1242"/>
      <c r="J45" s="1242"/>
      <c r="K45" s="1242"/>
      <c r="L45" s="1243"/>
      <c r="M45" s="1244"/>
      <c r="N45" s="1244"/>
      <c r="O45" s="1244"/>
      <c r="P45" s="278"/>
      <c r="Q45" s="276"/>
      <c r="R45" s="277"/>
      <c r="S45" s="1219" t="str">
        <f>INDEX(PT_DIFFERENTIATION_NUM_CS,MATCH(C45,PT_DIFFERENTIATION_CS_ID,0))</f>
        <v>..</v>
      </c>
      <c r="T45" s="229" t="s">
        <v>1465</v>
      </c>
      <c r="U45" s="218"/>
      <c r="V45" s="2215"/>
      <c r="W45" s="2216"/>
      <c r="X45" s="2216"/>
      <c r="Y45" s="2216"/>
      <c r="Z45" s="2216"/>
      <c r="AA45" s="2216"/>
      <c r="AB45" s="2216"/>
      <c r="AC45" s="2217"/>
      <c r="AD45" s="2215" t="str">
        <f>INDEX(PT_DIFFERENTIATION_CS,MATCH(C45,PT_DIFFERENTIATION_CS_ID,0))</f>
        <v/>
      </c>
      <c r="AE45" s="2216"/>
      <c r="AF45" s="2216"/>
      <c r="AG45" s="2216"/>
      <c r="AH45" s="2216"/>
      <c r="AI45" s="2216"/>
      <c r="AJ45" s="2216"/>
      <c r="AK45" s="2216"/>
      <c r="AL45" s="2217"/>
      <c r="AM45" s="1138" t="s">
        <v>1466</v>
      </c>
      <c r="AO45" s="428"/>
      <c r="AP45" s="428" t="str">
        <f t="shared" si="1"/>
        <v xml:space="preserve">Наименование системы теплоснабжения </v>
      </c>
      <c r="AQ45" s="428"/>
      <c r="AR45" s="428"/>
    </row>
    <row r="46" spans="1:44" ht="21" customHeight="1">
      <c r="A46" s="1242" t="s">
        <v>171</v>
      </c>
      <c r="B46" s="1242" t="s">
        <v>172</v>
      </c>
      <c r="C46" s="1242" t="s">
        <v>173</v>
      </c>
      <c r="D46" s="1242" t="s">
        <v>174</v>
      </c>
      <c r="E46" s="2222"/>
      <c r="F46" s="2222"/>
      <c r="G46" s="2222"/>
      <c r="H46" s="2221">
        <v>1</v>
      </c>
      <c r="I46" s="1242"/>
      <c r="J46" s="1242"/>
      <c r="K46" s="1242"/>
      <c r="L46" s="1243"/>
      <c r="M46" s="1244"/>
      <c r="N46" s="1244"/>
      <c r="O46" s="1244"/>
      <c r="P46" s="278"/>
      <c r="Q46" s="276"/>
      <c r="R46" s="277"/>
      <c r="S46" s="1219" t="str">
        <f>INDEX(PT_DIFFERENTIATION_NUM_IST_TE,MATCH(D46,PT_DIFFERENTIATION_IST_TE_ID,0))</f>
        <v>...</v>
      </c>
      <c r="T46" s="230" t="s">
        <v>1467</v>
      </c>
      <c r="U46" s="218"/>
      <c r="V46" s="2215"/>
      <c r="W46" s="2216"/>
      <c r="X46" s="2216"/>
      <c r="Y46" s="2216"/>
      <c r="Z46" s="2216"/>
      <c r="AA46" s="2216"/>
      <c r="AB46" s="2216"/>
      <c r="AC46" s="2217"/>
      <c r="AD46" s="2215" t="str">
        <f>INDEX(PT_DIFFERENTIATION_IST_TE,MATCH(D46,PT_DIFFERENTIATION_IST_TE_ID,0))</f>
        <v/>
      </c>
      <c r="AE46" s="2216"/>
      <c r="AF46" s="2216"/>
      <c r="AG46" s="2216"/>
      <c r="AH46" s="2216"/>
      <c r="AI46" s="2216"/>
      <c r="AJ46" s="2216"/>
      <c r="AK46" s="2216"/>
      <c r="AL46" s="2217"/>
      <c r="AM46" s="1138" t="s">
        <v>1468</v>
      </c>
      <c r="AO46" s="428"/>
      <c r="AP46" s="428" t="str">
        <f t="shared" si="1"/>
        <v xml:space="preserve">Источник тепловой энергии  </v>
      </c>
      <c r="AQ46" s="428"/>
      <c r="AR46" s="428"/>
    </row>
    <row r="47" spans="1:44" s="1755" customFormat="1" ht="0" hidden="1" customHeight="1">
      <c r="A47" s="1226" t="s">
        <v>171</v>
      </c>
      <c r="B47" s="1226" t="s">
        <v>172</v>
      </c>
      <c r="C47" s="1226" t="s">
        <v>173</v>
      </c>
      <c r="D47" s="1226" t="s">
        <v>174</v>
      </c>
      <c r="E47" s="2222"/>
      <c r="F47" s="2222"/>
      <c r="G47" s="2222"/>
      <c r="H47" s="2222"/>
      <c r="I47" s="2223" t="str">
        <f>S46&amp;".1"</f>
        <v>....1</v>
      </c>
      <c r="J47" s="1226"/>
      <c r="K47" s="1226"/>
      <c r="L47" s="1229" t="s">
        <v>1469</v>
      </c>
      <c r="M47" s="438"/>
      <c r="N47" s="438"/>
      <c r="O47" s="438"/>
      <c r="P47" s="2143">
        <v>1</v>
      </c>
      <c r="Q47" s="1214"/>
      <c r="R47" s="280"/>
      <c r="S47" s="932"/>
      <c r="T47" s="1261"/>
      <c r="U47" s="1262"/>
      <c r="V47" s="2249"/>
      <c r="W47" s="2250"/>
      <c r="X47" s="2250"/>
      <c r="Y47" s="2250"/>
      <c r="Z47" s="2250"/>
      <c r="AA47" s="2250"/>
      <c r="AB47" s="2250"/>
      <c r="AC47" s="2251"/>
      <c r="AD47" s="2249"/>
      <c r="AE47" s="2250"/>
      <c r="AF47" s="2250"/>
      <c r="AG47" s="2250"/>
      <c r="AH47" s="2250"/>
      <c r="AI47" s="2250"/>
      <c r="AJ47" s="2250"/>
      <c r="AK47" s="2250"/>
      <c r="AL47" s="2251"/>
      <c r="AM47" s="1263"/>
      <c r="AO47" s="428"/>
      <c r="AP47" s="428" t="str">
        <f t="shared" si="1"/>
        <v/>
      </c>
      <c r="AQ47" s="428"/>
      <c r="AR47" s="428"/>
    </row>
    <row r="48" spans="1:44" ht="21" customHeight="1">
      <c r="A48" s="1242" t="s">
        <v>171</v>
      </c>
      <c r="B48" s="1242" t="s">
        <v>172</v>
      </c>
      <c r="C48" s="1242" t="s">
        <v>173</v>
      </c>
      <c r="D48" s="1242" t="s">
        <v>174</v>
      </c>
      <c r="E48" s="2222"/>
      <c r="F48" s="2222"/>
      <c r="G48" s="2222"/>
      <c r="H48" s="2222"/>
      <c r="I48" s="2224"/>
      <c r="J48" s="2223" t="str">
        <f>S46&amp;".1"</f>
        <v>....1</v>
      </c>
      <c r="K48" s="1242"/>
      <c r="L48" s="1243" t="s">
        <v>1472</v>
      </c>
      <c r="P48" s="2143"/>
      <c r="Q48" s="2143">
        <v>1</v>
      </c>
      <c r="R48" s="281"/>
      <c r="S48" s="1219" t="str">
        <f>$J48</f>
        <v>....1</v>
      </c>
      <c r="T48" s="204" t="s">
        <v>1473</v>
      </c>
      <c r="U48" s="218"/>
      <c r="V48" s="2210"/>
      <c r="W48" s="2211"/>
      <c r="X48" s="2211"/>
      <c r="Y48" s="2211"/>
      <c r="Z48" s="2211"/>
      <c r="AA48" s="2211"/>
      <c r="AB48" s="2211"/>
      <c r="AC48" s="2212"/>
      <c r="AD48" s="2210"/>
      <c r="AE48" s="2211"/>
      <c r="AF48" s="2211"/>
      <c r="AG48" s="2211"/>
      <c r="AH48" s="2211"/>
      <c r="AI48" s="2211"/>
      <c r="AJ48" s="2211"/>
      <c r="AK48" s="2211"/>
      <c r="AL48" s="2212"/>
      <c r="AM48" s="1138" t="s">
        <v>1474</v>
      </c>
      <c r="AO48" s="428"/>
      <c r="AP48" s="428" t="str">
        <f t="shared" si="1"/>
        <v>Группа потребителей</v>
      </c>
      <c r="AQ48" s="428"/>
      <c r="AR48" s="428"/>
    </row>
    <row r="49" spans="1:44" ht="21" customHeight="1">
      <c r="A49" s="1242" t="s">
        <v>171</v>
      </c>
      <c r="B49" s="1242" t="s">
        <v>172</v>
      </c>
      <c r="C49" s="1242" t="s">
        <v>173</v>
      </c>
      <c r="D49" s="1242" t="s">
        <v>174</v>
      </c>
      <c r="E49" s="2222"/>
      <c r="F49" s="2222"/>
      <c r="G49" s="2222"/>
      <c r="H49" s="2222"/>
      <c r="I49" s="2224"/>
      <c r="J49" s="2224"/>
      <c r="K49" s="2223" t="str">
        <f>J48&amp;".1"</f>
        <v>....1.1</v>
      </c>
      <c r="L49" s="1243" t="s">
        <v>1475</v>
      </c>
      <c r="P49" s="2143"/>
      <c r="Q49" s="2143"/>
      <c r="R49" s="281">
        <v>1</v>
      </c>
      <c r="S49" s="1219" t="str">
        <f>$K49</f>
        <v>....1.1</v>
      </c>
      <c r="T49" s="1230"/>
      <c r="U49" s="218"/>
      <c r="V49" s="1664"/>
      <c r="W49" s="1665"/>
      <c r="X49" s="1664"/>
      <c r="Y49" s="1666"/>
      <c r="Z49" s="2225"/>
      <c r="AA49" s="2017" t="s">
        <v>62</v>
      </c>
      <c r="AB49" s="2225"/>
      <c r="AC49" s="2017" t="s">
        <v>62</v>
      </c>
      <c r="AD49" s="1664"/>
      <c r="AE49" s="1665"/>
      <c r="AF49" s="1664"/>
      <c r="AG49" s="1666"/>
      <c r="AH49" s="2225"/>
      <c r="AI49" s="2017" t="s">
        <v>62</v>
      </c>
      <c r="AJ49" s="2227"/>
      <c r="AK49" s="2017" t="s">
        <v>62</v>
      </c>
      <c r="AL49" s="1672"/>
      <c r="AM49" s="2243" t="s">
        <v>1519</v>
      </c>
      <c r="AN49" s="439" t="e">
        <f ca="1">STRCHECKDATE(V50:AL50)</f>
        <v>#NAME?</v>
      </c>
      <c r="AO49" s="428"/>
      <c r="AP49" s="428" t="str">
        <f t="shared" si="1"/>
        <v/>
      </c>
      <c r="AQ49" s="428"/>
      <c r="AR49" s="428"/>
    </row>
    <row r="50" spans="1:44" ht="0.75" customHeight="1">
      <c r="A50" s="1242" t="s">
        <v>171</v>
      </c>
      <c r="B50" s="1242" t="s">
        <v>172</v>
      </c>
      <c r="C50" s="1242" t="s">
        <v>173</v>
      </c>
      <c r="D50" s="1242" t="s">
        <v>174</v>
      </c>
      <c r="E50" s="2222"/>
      <c r="F50" s="2222"/>
      <c r="G50" s="2222"/>
      <c r="H50" s="2222"/>
      <c r="I50" s="2224"/>
      <c r="J50" s="2224"/>
      <c r="K50" s="2223"/>
      <c r="L50" s="1243"/>
      <c r="P50" s="2143"/>
      <c r="Q50" s="2143"/>
      <c r="R50" s="281"/>
      <c r="S50" s="1225"/>
      <c r="T50" s="218"/>
      <c r="U50" s="218"/>
      <c r="V50" s="1665"/>
      <c r="W50" s="1665"/>
      <c r="X50" s="1665"/>
      <c r="Y50" s="1667" t="str">
        <f>Z49&amp;"-"&amp;AB49</f>
        <v>-</v>
      </c>
      <c r="Z50" s="2226"/>
      <c r="AA50" s="2017"/>
      <c r="AB50" s="2226"/>
      <c r="AC50" s="2017"/>
      <c r="AD50" s="1665"/>
      <c r="AE50" s="1665"/>
      <c r="AF50" s="1665"/>
      <c r="AG50" s="1667" t="str">
        <f>AH49&amp;"-"&amp;AJ49</f>
        <v>-</v>
      </c>
      <c r="AH50" s="2226"/>
      <c r="AI50" s="2017"/>
      <c r="AJ50" s="2228"/>
      <c r="AK50" s="2017"/>
      <c r="AL50" s="1673"/>
      <c r="AM50" s="2244"/>
      <c r="AO50" s="428"/>
      <c r="AP50" s="428" t="str">
        <f t="shared" si="1"/>
        <v/>
      </c>
      <c r="AQ50" s="428"/>
      <c r="AR50" s="428"/>
    </row>
    <row r="51" spans="1:44" ht="11.25" customHeight="1">
      <c r="A51" s="1242" t="s">
        <v>171</v>
      </c>
      <c r="B51" s="1242" t="s">
        <v>172</v>
      </c>
      <c r="C51" s="1242" t="s">
        <v>173</v>
      </c>
      <c r="D51" s="1242" t="s">
        <v>174</v>
      </c>
      <c r="E51" s="2222"/>
      <c r="F51" s="2222"/>
      <c r="G51" s="2222"/>
      <c r="H51" s="2222"/>
      <c r="I51" s="2224"/>
      <c r="J51" s="2223"/>
      <c r="K51" s="1242"/>
      <c r="L51" s="1243"/>
      <c r="P51" s="2143"/>
      <c r="Q51" s="2143"/>
      <c r="R51" s="280"/>
      <c r="S51" s="1159"/>
      <c r="T51" s="205" t="s">
        <v>1477</v>
      </c>
      <c r="U51" s="294"/>
      <c r="V51" s="294"/>
      <c r="W51" s="294"/>
      <c r="X51" s="294"/>
      <c r="Y51" s="294"/>
      <c r="Z51" s="294"/>
      <c r="AA51" s="294"/>
      <c r="AB51" s="294"/>
      <c r="AC51" s="294"/>
      <c r="AD51" s="294"/>
      <c r="AE51" s="294"/>
      <c r="AF51" s="294"/>
      <c r="AG51" s="294"/>
      <c r="AH51" s="294"/>
      <c r="AI51" s="294"/>
      <c r="AJ51" s="294"/>
      <c r="AK51" s="294"/>
      <c r="AL51" s="251"/>
      <c r="AM51" s="2245"/>
      <c r="AO51" s="428"/>
      <c r="AP51" s="428" t="str">
        <f t="shared" si="1"/>
        <v>Добавить вид теплоносителя (параметры теплоносителя)</v>
      </c>
      <c r="AQ51" s="428"/>
      <c r="AR51" s="428"/>
    </row>
    <row r="52" spans="1:44" ht="11.25" customHeight="1">
      <c r="A52" s="1242" t="s">
        <v>171</v>
      </c>
      <c r="B52" s="1242" t="s">
        <v>172</v>
      </c>
      <c r="C52" s="1242" t="s">
        <v>173</v>
      </c>
      <c r="D52" s="1242" t="s">
        <v>174</v>
      </c>
      <c r="E52" s="2222"/>
      <c r="F52" s="2222"/>
      <c r="G52" s="2222"/>
      <c r="H52" s="2222"/>
      <c r="I52" s="2223"/>
      <c r="J52" s="1242"/>
      <c r="K52" s="1242"/>
      <c r="L52" s="1243"/>
      <c r="P52" s="2143"/>
      <c r="Q52" s="1214"/>
      <c r="R52" s="280"/>
      <c r="S52" s="1159"/>
      <c r="T52" s="291" t="s">
        <v>1478</v>
      </c>
      <c r="U52" s="294"/>
      <c r="V52" s="294"/>
      <c r="W52" s="294"/>
      <c r="X52" s="294"/>
      <c r="Y52" s="294"/>
      <c r="Z52" s="294"/>
      <c r="AA52" s="294"/>
      <c r="AB52" s="294"/>
      <c r="AC52" s="293"/>
      <c r="AD52" s="294"/>
      <c r="AE52" s="294"/>
      <c r="AF52" s="294"/>
      <c r="AG52" s="294"/>
      <c r="AH52" s="294"/>
      <c r="AI52" s="294"/>
      <c r="AJ52" s="294"/>
      <c r="AK52" s="293"/>
      <c r="AL52" s="294"/>
      <c r="AM52" s="221"/>
      <c r="AO52" s="428"/>
      <c r="AP52" s="428" t="str">
        <f t="shared" si="1"/>
        <v>Добавить группу потребителей</v>
      </c>
      <c r="AQ52" s="428"/>
      <c r="AR52" s="428"/>
    </row>
    <row r="53" spans="1:44" ht="0" hidden="1" customHeight="1">
      <c r="A53" s="1242" t="s">
        <v>171</v>
      </c>
      <c r="B53" s="1242" t="s">
        <v>172</v>
      </c>
      <c r="C53" s="1242" t="s">
        <v>173</v>
      </c>
      <c r="D53" s="1242" t="s">
        <v>174</v>
      </c>
      <c r="E53" s="2222"/>
      <c r="F53" s="2222"/>
      <c r="G53" s="2222"/>
      <c r="H53" s="2221"/>
      <c r="I53" s="1242"/>
      <c r="J53" s="1242"/>
      <c r="K53" s="1242"/>
      <c r="L53" s="1243"/>
      <c r="M53" s="1244"/>
      <c r="N53" s="1244"/>
      <c r="O53" s="464"/>
      <c r="P53" s="284"/>
      <c r="Q53" s="303"/>
      <c r="R53" s="279"/>
      <c r="S53" s="1264"/>
      <c r="T53" s="1265"/>
      <c r="U53" s="1266"/>
      <c r="V53" s="1266"/>
      <c r="W53" s="1266"/>
      <c r="X53" s="1266"/>
      <c r="Y53" s="1266"/>
      <c r="Z53" s="1266"/>
      <c r="AA53" s="1266"/>
      <c r="AB53" s="1266"/>
      <c r="AC53" s="1266"/>
      <c r="AD53" s="1266"/>
      <c r="AE53" s="1266"/>
      <c r="AF53" s="1266"/>
      <c r="AG53" s="1266"/>
      <c r="AH53" s="1266"/>
      <c r="AI53" s="1266"/>
      <c r="AJ53" s="1266"/>
      <c r="AK53" s="1266"/>
      <c r="AL53" s="1266"/>
      <c r="AM53" s="1267"/>
      <c r="AO53" s="428"/>
      <c r="AP53" s="428" t="str">
        <f t="shared" si="1"/>
        <v/>
      </c>
      <c r="AQ53" s="428"/>
      <c r="AR53" s="428"/>
    </row>
    <row r="54" spans="1:44" s="1755" customFormat="1" ht="0.75" customHeight="1">
      <c r="A54" s="1226" t="s">
        <v>171</v>
      </c>
      <c r="B54" s="1226" t="s">
        <v>172</v>
      </c>
      <c r="C54" s="1226" t="s">
        <v>173</v>
      </c>
      <c r="D54" s="1198"/>
      <c r="E54" s="2222"/>
      <c r="F54" s="2222"/>
      <c r="G54" s="2221"/>
      <c r="H54" s="1198"/>
      <c r="I54" s="1198"/>
      <c r="J54" s="1198"/>
      <c r="K54" s="1198"/>
      <c r="L54" s="1222"/>
      <c r="M54" s="1199"/>
      <c r="N54" s="1199"/>
      <c r="P54" s="1200"/>
      <c r="Q54" s="1201"/>
      <c r="R54" s="1200"/>
      <c r="S54" s="1206"/>
      <c r="T54" s="1209" t="s">
        <v>1438</v>
      </c>
      <c r="U54" s="1208"/>
      <c r="V54" s="1208"/>
      <c r="W54" s="1208"/>
      <c r="X54" s="1208"/>
      <c r="Y54" s="1208"/>
      <c r="Z54" s="1208"/>
      <c r="AA54" s="1208"/>
      <c r="AB54" s="1208"/>
      <c r="AC54" s="1208"/>
      <c r="AD54" s="1208"/>
      <c r="AE54" s="1208"/>
      <c r="AF54" s="1208"/>
      <c r="AG54" s="1208"/>
      <c r="AH54" s="1208"/>
      <c r="AI54" s="1208"/>
      <c r="AJ54" s="1208"/>
      <c r="AK54" s="1208"/>
      <c r="AL54" s="1208"/>
      <c r="AM54" s="1208"/>
      <c r="AO54" s="695"/>
      <c r="AP54" s="695" t="str">
        <f t="shared" si="1"/>
        <v>Добавить источник для дифференциации</v>
      </c>
      <c r="AQ54" s="695"/>
      <c r="AR54" s="695"/>
    </row>
    <row r="55" spans="1:44" s="1755" customFormat="1" ht="0.75" customHeight="1">
      <c r="A55" s="1226" t="s">
        <v>171</v>
      </c>
      <c r="B55" s="1226" t="s">
        <v>172</v>
      </c>
      <c r="C55" s="1198"/>
      <c r="D55" s="1198"/>
      <c r="E55" s="2222"/>
      <c r="F55" s="2221"/>
      <c r="G55" s="1198"/>
      <c r="H55" s="1198"/>
      <c r="I55" s="1198"/>
      <c r="J55" s="1198"/>
      <c r="K55" s="1198"/>
      <c r="L55" s="1222"/>
      <c r="M55" s="1205"/>
      <c r="N55" s="1205"/>
      <c r="P55" s="1200"/>
      <c r="Q55" s="1201"/>
      <c r="R55" s="1200"/>
      <c r="S55" s="1206"/>
      <c r="T55" s="1209" t="s">
        <v>1439</v>
      </c>
      <c r="U55" s="1208"/>
      <c r="V55" s="1208"/>
      <c r="W55" s="1208"/>
      <c r="X55" s="1208"/>
      <c r="Y55" s="1208"/>
      <c r="Z55" s="1208"/>
      <c r="AA55" s="1208"/>
      <c r="AB55" s="1208"/>
      <c r="AC55" s="1208"/>
      <c r="AD55" s="1208"/>
      <c r="AE55" s="1208"/>
      <c r="AF55" s="1208"/>
      <c r="AG55" s="1208"/>
      <c r="AH55" s="1208"/>
      <c r="AI55" s="1208"/>
      <c r="AJ55" s="1208"/>
      <c r="AK55" s="1208"/>
      <c r="AL55" s="1208"/>
      <c r="AM55" s="1208"/>
      <c r="AO55" s="695"/>
      <c r="AP55" s="695" t="str">
        <f t="shared" si="1"/>
        <v>Добавить централизованную систему для дифференциации</v>
      </c>
      <c r="AQ55" s="695"/>
      <c r="AR55" s="695"/>
    </row>
    <row r="56" spans="1:44" s="1755" customFormat="1" ht="0.75" customHeight="1">
      <c r="A56" s="1226" t="s">
        <v>171</v>
      </c>
      <c r="B56" s="1226"/>
      <c r="C56" s="1226"/>
      <c r="D56" s="1226"/>
      <c r="E56" s="2221"/>
      <c r="F56" s="1226"/>
      <c r="G56" s="1226"/>
      <c r="H56" s="1226"/>
      <c r="I56" s="1226"/>
      <c r="J56" s="1226"/>
      <c r="K56" s="1226"/>
      <c r="L56" s="1229"/>
      <c r="M56" s="1205"/>
      <c r="N56" s="1205"/>
      <c r="O56" s="446"/>
      <c r="P56" s="311"/>
      <c r="Q56" s="1227"/>
      <c r="R56" s="311"/>
      <c r="S56" s="1206"/>
      <c r="T56" s="1209" t="s">
        <v>1440</v>
      </c>
      <c r="U56" s="1208"/>
      <c r="V56" s="1208"/>
      <c r="W56" s="1208"/>
      <c r="X56" s="1208"/>
      <c r="Y56" s="1208"/>
      <c r="Z56" s="1208"/>
      <c r="AA56" s="1208"/>
      <c r="AB56" s="1208"/>
      <c r="AC56" s="1208"/>
      <c r="AD56" s="1208"/>
      <c r="AE56" s="1208"/>
      <c r="AF56" s="1208"/>
      <c r="AG56" s="1208"/>
      <c r="AH56" s="1208"/>
      <c r="AI56" s="1208"/>
      <c r="AJ56" s="1208"/>
      <c r="AK56" s="1208"/>
      <c r="AL56" s="1208"/>
      <c r="AM56" s="1208"/>
      <c r="AO56" s="428"/>
      <c r="AP56" s="428" t="str">
        <f t="shared" si="1"/>
        <v>Добавить территорию для дифференциации</v>
      </c>
      <c r="AQ56" s="428"/>
      <c r="AR56" s="428"/>
    </row>
    <row r="57" spans="1:44" s="1755" customFormat="1" ht="0.75" customHeight="1">
      <c r="A57" s="1198"/>
      <c r="B57" s="1198"/>
      <c r="C57" s="1198"/>
      <c r="D57" s="1198"/>
      <c r="E57" s="1226"/>
      <c r="F57" s="1198"/>
      <c r="G57" s="1198"/>
      <c r="H57" s="1198"/>
      <c r="I57" s="1198"/>
      <c r="J57" s="1198"/>
      <c r="K57" s="1198"/>
      <c r="L57" s="1222"/>
      <c r="M57" s="1205"/>
      <c r="N57" s="1205"/>
      <c r="P57" s="1200"/>
      <c r="Q57" s="1201"/>
      <c r="R57" s="1200"/>
      <c r="S57" s="1206"/>
      <c r="T57" s="1209" t="s">
        <v>1441</v>
      </c>
      <c r="U57" s="1208"/>
      <c r="V57" s="1208"/>
      <c r="W57" s="1208"/>
      <c r="X57" s="1208"/>
      <c r="Y57" s="1208"/>
      <c r="Z57" s="1208"/>
      <c r="AA57" s="1208"/>
      <c r="AB57" s="1208"/>
      <c r="AC57" s="1208"/>
      <c r="AD57" s="1208"/>
      <c r="AE57" s="1208"/>
      <c r="AF57" s="1208"/>
      <c r="AG57" s="1208"/>
      <c r="AH57" s="1208"/>
      <c r="AI57" s="1208"/>
      <c r="AJ57" s="1208"/>
      <c r="AK57" s="1208"/>
      <c r="AL57" s="1208"/>
      <c r="AM57" s="1208"/>
      <c r="AO57" s="695"/>
      <c r="AP57" s="695" t="str">
        <f t="shared" si="1"/>
        <v>Добавить наименование тарифа</v>
      </c>
      <c r="AQ57" s="695"/>
      <c r="AR57" s="695"/>
    </row>
    <row r="58" spans="1:44" ht="11.25" hidden="1" customHeight="1">
      <c r="M58" s="1034"/>
      <c r="N58" s="1034"/>
      <c r="O58" s="464"/>
      <c r="P58" s="1029"/>
      <c r="Q58" s="1029"/>
      <c r="R58" s="1029"/>
      <c r="S58" s="1029"/>
      <c r="AN58" s="1029"/>
      <c r="AO58" s="1029"/>
      <c r="AP58" s="1029"/>
      <c r="AQ58" s="1029"/>
      <c r="AR58" s="1029"/>
    </row>
    <row r="59" spans="1:44" ht="18.75" hidden="1" customHeight="1">
      <c r="O59" s="464"/>
      <c r="S59" s="1126" t="s">
        <v>1511</v>
      </c>
      <c r="T59" s="2220" t="s">
        <v>1520</v>
      </c>
      <c r="U59" s="2220"/>
      <c r="V59" s="2220"/>
      <c r="W59" s="2220"/>
      <c r="X59" s="2220"/>
      <c r="Y59" s="2220"/>
      <c r="Z59" s="2220"/>
      <c r="AA59" s="2220"/>
      <c r="AB59" s="2220"/>
      <c r="AC59" s="2220"/>
      <c r="AD59" s="2220"/>
      <c r="AE59" s="2220"/>
      <c r="AF59" s="2220"/>
      <c r="AG59" s="2220"/>
      <c r="AH59" s="2220"/>
      <c r="AI59" s="2220"/>
      <c r="AJ59" s="2220"/>
      <c r="AK59" s="2220"/>
      <c r="AL59" s="2220"/>
      <c r="AM59" s="2220"/>
    </row>
    <row r="60" spans="1:44" ht="27.75" hidden="1" customHeight="1">
      <c r="O60" s="464"/>
      <c r="T60" s="2220" t="s">
        <v>1521</v>
      </c>
      <c r="U60" s="2220"/>
      <c r="V60" s="2220"/>
      <c r="W60" s="2220"/>
      <c r="X60" s="2220"/>
      <c r="Y60" s="2220"/>
      <c r="Z60" s="2220"/>
      <c r="AA60" s="2220"/>
      <c r="AB60" s="2220"/>
      <c r="AC60" s="2220"/>
      <c r="AD60" s="2220"/>
      <c r="AE60" s="2220"/>
      <c r="AF60" s="2220"/>
      <c r="AG60" s="2220"/>
      <c r="AH60" s="2220"/>
      <c r="AI60" s="2220"/>
      <c r="AJ60" s="2220"/>
      <c r="AK60" s="2220"/>
      <c r="AL60" s="2220"/>
      <c r="AM60" s="2220"/>
    </row>
    <row r="61" spans="1:44" ht="39.75" hidden="1" customHeight="1">
      <c r="O61" s="464"/>
      <c r="T61" s="2220" t="s">
        <v>1522</v>
      </c>
      <c r="U61" s="2220"/>
      <c r="V61" s="2220"/>
      <c r="W61" s="2220"/>
      <c r="X61" s="2220"/>
      <c r="Y61" s="2220"/>
      <c r="Z61" s="2220"/>
      <c r="AA61" s="2220"/>
      <c r="AB61" s="2220"/>
      <c r="AC61" s="2220"/>
      <c r="AD61" s="2220"/>
      <c r="AE61" s="2220"/>
      <c r="AF61" s="2220"/>
      <c r="AG61" s="2220"/>
      <c r="AH61" s="2220"/>
      <c r="AI61" s="2220"/>
      <c r="AJ61" s="2220"/>
      <c r="AK61" s="2220"/>
      <c r="AL61" s="2220"/>
      <c r="AM61" s="2220"/>
    </row>
    <row r="62" spans="1:44" ht="14.25" hidden="1" customHeight="1">
      <c r="O62" s="464"/>
    </row>
    <row r="63" spans="1:44" ht="19.5" hidden="1" customHeight="1">
      <c r="O63" s="464"/>
      <c r="S63" s="1126" t="s">
        <v>1511</v>
      </c>
      <c r="T63" s="2049" t="s">
        <v>1514</v>
      </c>
      <c r="U63" s="2220"/>
      <c r="V63" s="2220"/>
      <c r="W63" s="2220"/>
      <c r="X63" s="2220"/>
      <c r="Y63" s="2220"/>
      <c r="Z63" s="2220"/>
      <c r="AA63" s="2220"/>
      <c r="AB63" s="2220"/>
      <c r="AC63" s="2220"/>
      <c r="AD63" s="2220"/>
      <c r="AE63" s="2220"/>
      <c r="AF63" s="2220"/>
      <c r="AG63" s="2220"/>
      <c r="AH63" s="2220"/>
      <c r="AI63" s="2220"/>
      <c r="AJ63" s="2220"/>
      <c r="AK63" s="2220"/>
      <c r="AL63" s="2220"/>
      <c r="AM63" s="2220"/>
    </row>
    <row r="64" spans="1:44" ht="27.75" hidden="1" customHeight="1">
      <c r="O64" s="464"/>
      <c r="T64" s="2220" t="s">
        <v>1523</v>
      </c>
      <c r="U64" s="2220"/>
      <c r="V64" s="2220"/>
      <c r="W64" s="2220"/>
      <c r="X64" s="2220"/>
      <c r="Y64" s="2220"/>
      <c r="Z64" s="2220"/>
      <c r="AA64" s="2220"/>
      <c r="AB64" s="2220"/>
      <c r="AC64" s="2220"/>
      <c r="AD64" s="2220"/>
      <c r="AE64" s="2220"/>
      <c r="AF64" s="2220"/>
      <c r="AG64" s="2220"/>
      <c r="AH64" s="2220"/>
      <c r="AI64" s="2220"/>
      <c r="AJ64" s="2220"/>
      <c r="AK64" s="2220"/>
      <c r="AL64" s="2220"/>
      <c r="AM64" s="2220"/>
    </row>
    <row r="65" spans="20:39" ht="33.75" hidden="1" customHeight="1">
      <c r="T65" s="2220" t="s">
        <v>1524</v>
      </c>
      <c r="U65" s="2220"/>
      <c r="V65" s="2220"/>
      <c r="W65" s="2220"/>
      <c r="X65" s="2220"/>
      <c r="Y65" s="2220"/>
      <c r="Z65" s="2220"/>
      <c r="AA65" s="2220"/>
      <c r="AB65" s="2220"/>
      <c r="AC65" s="2220"/>
      <c r="AD65" s="2220"/>
      <c r="AE65" s="2220"/>
      <c r="AF65" s="2220"/>
      <c r="AG65" s="2220"/>
      <c r="AH65" s="2220"/>
      <c r="AI65" s="2220"/>
      <c r="AJ65" s="2220"/>
      <c r="AK65" s="2220"/>
      <c r="AL65" s="2220"/>
      <c r="AM65" s="2220"/>
    </row>
  </sheetData>
  <sheetProtection formatColumns="0" formatRows="0" insertRows="0" deleteColumns="0" deleteRows="0" sort="0" autoFilter="0"/>
  <mergeCells count="113">
    <mergeCell ref="V47:AC47"/>
    <mergeCell ref="AD47:AL47"/>
    <mergeCell ref="AD31:AJ31"/>
    <mergeCell ref="AD32:AJ32"/>
    <mergeCell ref="AE40:AE41"/>
    <mergeCell ref="AF40:AG40"/>
    <mergeCell ref="AH40:AJ40"/>
    <mergeCell ref="AI41:AJ41"/>
    <mergeCell ref="AD37:AK37"/>
    <mergeCell ref="I47:I52"/>
    <mergeCell ref="V32:AB32"/>
    <mergeCell ref="E2:E15"/>
    <mergeCell ref="F3:F14"/>
    <mergeCell ref="G4:G13"/>
    <mergeCell ref="H5:H12"/>
    <mergeCell ref="I6:I11"/>
    <mergeCell ref="P6:P11"/>
    <mergeCell ref="J7:J10"/>
    <mergeCell ref="Q7:Q10"/>
    <mergeCell ref="K8:K9"/>
    <mergeCell ref="S31:T31"/>
    <mergeCell ref="V31:AB31"/>
    <mergeCell ref="S32:T32"/>
    <mergeCell ref="AA41:AB41"/>
    <mergeCell ref="V37:AC37"/>
    <mergeCell ref="S38:AL38"/>
    <mergeCell ref="S26:AJ26"/>
    <mergeCell ref="S27:AJ27"/>
    <mergeCell ref="AC49:AC50"/>
    <mergeCell ref="AA49:AA50"/>
    <mergeCell ref="AB49:AB50"/>
    <mergeCell ref="AH49:AH50"/>
    <mergeCell ref="AI49:AI50"/>
    <mergeCell ref="AM8:AM10"/>
    <mergeCell ref="AH17:AH18"/>
    <mergeCell ref="AI17:AI18"/>
    <mergeCell ref="AJ17:AJ18"/>
    <mergeCell ref="AK17:AK18"/>
    <mergeCell ref="Z8:Z9"/>
    <mergeCell ref="AA8:AA9"/>
    <mergeCell ref="S29:T29"/>
    <mergeCell ref="S30:T30"/>
    <mergeCell ref="V29:AB29"/>
    <mergeCell ref="AD29:AJ29"/>
    <mergeCell ref="V30:AB30"/>
    <mergeCell ref="AD30:AJ30"/>
    <mergeCell ref="AH8:AH9"/>
    <mergeCell ref="AI8:AI9"/>
    <mergeCell ref="AJ8:AJ9"/>
    <mergeCell ref="AK8:AK9"/>
    <mergeCell ref="AB8:AB9"/>
    <mergeCell ref="AC8:AC9"/>
    <mergeCell ref="AM38:AM41"/>
    <mergeCell ref="S39:S41"/>
    <mergeCell ref="T39:T41"/>
    <mergeCell ref="V39:AB39"/>
    <mergeCell ref="AC39:AC41"/>
    <mergeCell ref="AD39:AJ39"/>
    <mergeCell ref="AK39:AK41"/>
    <mergeCell ref="AL39:AL41"/>
    <mergeCell ref="V40:V41"/>
    <mergeCell ref="W40:W41"/>
    <mergeCell ref="X40:Y40"/>
    <mergeCell ref="Z40:AB40"/>
    <mergeCell ref="AD40:AD41"/>
    <mergeCell ref="AM49:AM51"/>
    <mergeCell ref="T59:AM59"/>
    <mergeCell ref="T60:AM60"/>
    <mergeCell ref="AA42:AB42"/>
    <mergeCell ref="AI42:AJ42"/>
    <mergeCell ref="E43:E56"/>
    <mergeCell ref="V43:AC43"/>
    <mergeCell ref="AD43:AL43"/>
    <mergeCell ref="F44:F55"/>
    <mergeCell ref="V44:AC44"/>
    <mergeCell ref="AD44:AL44"/>
    <mergeCell ref="G45:G54"/>
    <mergeCell ref="V45:AC45"/>
    <mergeCell ref="AD45:AL45"/>
    <mergeCell ref="H46:H53"/>
    <mergeCell ref="V46:AC46"/>
    <mergeCell ref="AD46:AL46"/>
    <mergeCell ref="P47:P52"/>
    <mergeCell ref="J48:J51"/>
    <mergeCell ref="Q48:Q51"/>
    <mergeCell ref="V48:AC48"/>
    <mergeCell ref="AD48:AL48"/>
    <mergeCell ref="K49:K50"/>
    <mergeCell ref="Z49:Z50"/>
    <mergeCell ref="T64:AM64"/>
    <mergeCell ref="T65:AM65"/>
    <mergeCell ref="S35:T35"/>
    <mergeCell ref="V35:AB35"/>
    <mergeCell ref="AD35:AJ35"/>
    <mergeCell ref="S34:T34"/>
    <mergeCell ref="V34:AB34"/>
    <mergeCell ref="AD34:AJ34"/>
    <mergeCell ref="V2:AC2"/>
    <mergeCell ref="AD2:AL2"/>
    <mergeCell ref="V3:AC3"/>
    <mergeCell ref="AD3:AL3"/>
    <mergeCell ref="V4:AC4"/>
    <mergeCell ref="AD4:AL4"/>
    <mergeCell ref="V5:AC5"/>
    <mergeCell ref="AD5:AL5"/>
    <mergeCell ref="V6:AC6"/>
    <mergeCell ref="AD6:AL6"/>
    <mergeCell ref="V7:AC7"/>
    <mergeCell ref="AD7:AL7"/>
    <mergeCell ref="T63:AM63"/>
    <mergeCell ref="T61:AM61"/>
    <mergeCell ref="AJ49:AJ50"/>
    <mergeCell ref="AK49:AK50"/>
  </mergeCells>
  <dataValidations count="8">
    <dataValidation allowBlank="1" sqref="S131123:AM131129 S196659:AM196665 S262195:AM262201 S327731:AM327737 S393267:AM393273 S458803:AM458809 S524339:AM524345 S589875:AM589881 S655411:AM655417 S720947:AM720953 S786483:AM786489 S852019:AM852025 S917555:AM917561 S983091:AM983097 S65587:AM65593"/>
    <dataValidation type="list" allowBlank="1" showInputMessage="1" errorTitle="Ошибка" error="Выберите значение из списка" prompt="Выберите значение из списка" sqref="V983088:AL983088 V65584:AL65584 V131120:AL131120 V196656:AL196656 V262192:AL262192 V327728:AL327728 V393264:AL393264 V458800:AL458800 V524336:AL524336 V589872:AL589872 V655408:AL655408 V720944:AL720944 V786480:AL786480 V852016:AL852016 V917552:AL917552">
      <formula1>kind_of_cons</formula1>
    </dataValidation>
    <dataValidation type="list" allowBlank="1" showInputMessage="1" showErrorMessage="1" errorTitle="Ошибка" error="Выберите значение из списка" 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
      <formula1>kind_of_scheme_in</formula1>
    </dataValidation>
    <dataValidation type="textLength" operator="lessThanOrEqual" allowBlank="1" showInputMessage="1" showErrorMessage="1" errorTitle="Ошибка" error="Допускается ввод не более 900 символов!" sqref="AM65579:AM65586 AM131115:AM131122 AM196651:AM196658 AM262187:AM262194 AM327723:AM327730 AM393259:AM393266 AM458795:AM458802 AM524331:AM524338 AM589867:AM589874 AM655403:AM655410 AM720939:AM720946 AM786475:AM786482 AM852011:AM852018 AM917547:AM917554 AM983083:AM983090">
      <formula1>900</formula1>
    </dataValidation>
    <dataValidation type="list" allowBlank="1" showInputMessage="1" showErrorMessage="1" errorTitle="Ошибка" error="Выберите значение из списка" sqref="T65585 T131121 T196657 T262193 T327729 T393265 T458801 T524337 T589873 T655409 T720945 T786481 T852017 T917553 T983089">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dataValidation allowBlank="1" showInputMessage="1" showErrorMessage="1" prompt="Для выбора выполните двойной щелчок левой клавиши мыши по соответствующей ячейке."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393265 AK49 AK524337 AK8 AK589873 AK655409 AK17 AK720945 AK786481 AK852017 AK917553 AK983089 AK65585 AK131121 AK458801 AI49 AK196657 AI8 AC8 AA8 AI17 AK262193 AA49 AC49 AK327729"/>
    <dataValidation allowBlank="1" promptTitle="checkPeriodRange" sqref="Y65586 Y131122 Y196658 Y262194 Y327730 Y393266 Y458802 Y524338 Y589874 Y655410 Y720946 Y786482 Y852018 Y917554 Y983090 Y9 AG65586 AG131122 AG196658 AG262194 AG327730 AG393266 AG458802 AG524338 AG589874 AG655410 AG720946 AG786482 AG852018 AG917554 AG983090 AG9 AG50 AG18 Y50"/>
  </dataValidation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rgb="FFCCCCFF"/>
  </sheetPr>
  <dimension ref="A1:P76"/>
  <sheetViews>
    <sheetView showGridLines="0" topLeftCell="C1" zoomScale="90" workbookViewId="0">
      <selection activeCell="F68" sqref="F68"/>
    </sheetView>
  </sheetViews>
  <sheetFormatPr defaultColWidth="9.140625" defaultRowHeight="11.25" customHeight="1"/>
  <cols>
    <col min="1" max="1" width="10.7109375" style="1634" hidden="1" customWidth="1"/>
    <col min="2" max="2" width="10.7109375" style="1709" hidden="1" customWidth="1"/>
    <col min="3" max="3" width="3.7109375" style="1635" customWidth="1"/>
    <col min="4" max="4" width="1.7109375" style="1829" customWidth="1"/>
    <col min="5" max="5" width="55.28515625" style="1829" customWidth="1"/>
    <col min="6" max="6" width="50.7109375" style="1829" customWidth="1"/>
    <col min="7" max="7" width="1.7109375" style="1728" customWidth="1"/>
    <col min="8" max="8" width="18" style="1829" hidden="1" customWidth="1"/>
    <col min="9" max="9" width="9.5703125" style="1693" customWidth="1"/>
    <col min="10" max="10" width="52.140625" style="1742" hidden="1" customWidth="1"/>
    <col min="11" max="11" width="9.140625" style="1829"/>
    <col min="12" max="12" width="78" style="1829" customWidth="1"/>
    <col min="13" max="16" width="9.140625" style="1829"/>
  </cols>
  <sheetData>
    <row r="1" spans="1:11" s="1712" customFormat="1" ht="3" customHeight="1">
      <c r="A1" s="689"/>
      <c r="B1" s="161"/>
      <c r="F1" s="162">
        <v>26354809</v>
      </c>
      <c r="G1" s="346"/>
      <c r="H1" s="11"/>
      <c r="I1" s="346"/>
      <c r="J1" s="769"/>
    </row>
    <row r="2" spans="1:11" s="1721" customFormat="1" ht="14.25" customHeight="1">
      <c r="A2" s="689"/>
      <c r="B2" s="36"/>
      <c r="E2" s="1600" t="str">
        <f>code</f>
        <v>Код отчёта: PP108.OPEN.INFO.BALANCE.HOTVSNA.EIAS</v>
      </c>
      <c r="F2" s="187"/>
      <c r="G2" s="1631"/>
      <c r="H2" s="1631"/>
      <c r="I2" s="1631"/>
      <c r="J2" s="1632"/>
      <c r="K2" s="1631"/>
    </row>
    <row r="3" spans="1:11" ht="14.25" customHeight="1">
      <c r="E3" s="165" t="str">
        <f>version</f>
        <v>Версия отчёта: 1.0.0</v>
      </c>
      <c r="F3" s="187"/>
      <c r="G3" s="677"/>
      <c r="H3" s="677"/>
      <c r="I3" s="677"/>
      <c r="J3" s="770"/>
      <c r="K3" s="27"/>
    </row>
    <row r="4" spans="1:11" s="1650" customFormat="1" ht="6" customHeight="1">
      <c r="A4" s="690"/>
      <c r="B4" s="153"/>
      <c r="C4" s="154"/>
      <c r="D4" s="155"/>
      <c r="E4" s="163"/>
      <c r="F4" s="164"/>
      <c r="G4" s="678"/>
      <c r="H4" s="344"/>
      <c r="I4" s="346"/>
      <c r="J4" s="771"/>
    </row>
    <row r="5" spans="1:11" ht="37.5" customHeight="1">
      <c r="D5" s="13"/>
      <c r="E5" s="1988" t="str">
        <f>NameTemplatesInTitle</f>
        <v>Информация о показателях финансово-хозяйственной деятельности, об основных потребительских характеристиках регулируемых товаров и услуг, об инвестиционных программах</v>
      </c>
      <c r="F5" s="1989"/>
      <c r="G5" s="679"/>
      <c r="J5" s="772"/>
    </row>
    <row r="6" spans="1:11" s="1650" customFormat="1" ht="6" customHeight="1">
      <c r="A6" s="690"/>
      <c r="B6" s="153"/>
      <c r="C6" s="154"/>
      <c r="D6" s="155"/>
      <c r="E6" s="157"/>
      <c r="F6" s="158"/>
      <c r="G6" s="679"/>
      <c r="H6" s="344"/>
      <c r="I6" s="346"/>
      <c r="J6" s="771"/>
    </row>
    <row r="7" spans="1:11" ht="19.5" customHeight="1">
      <c r="D7" s="13"/>
      <c r="E7" s="323" t="s">
        <v>13</v>
      </c>
      <c r="F7" s="137" t="s">
        <v>14</v>
      </c>
      <c r="G7" s="679"/>
    </row>
    <row r="8" spans="1:11" s="1650" customFormat="1" ht="6" customHeight="1">
      <c r="A8" s="691"/>
      <c r="B8" s="153"/>
      <c r="C8" s="154"/>
      <c r="D8" s="159"/>
      <c r="E8" s="157"/>
      <c r="F8" s="160"/>
      <c r="G8" s="15"/>
      <c r="H8" s="344"/>
      <c r="I8" s="346"/>
      <c r="J8" s="774"/>
    </row>
    <row r="9" spans="1:11" ht="22.5" hidden="1" customHeight="1">
      <c r="A9" s="1991" t="s">
        <v>15</v>
      </c>
      <c r="D9" s="13"/>
      <c r="E9" s="1629" t="s">
        <v>16</v>
      </c>
      <c r="F9" s="1627" t="s">
        <v>17</v>
      </c>
      <c r="G9" s="15"/>
      <c r="H9" s="680" t="s">
        <v>18</v>
      </c>
      <c r="J9" s="773" t="s">
        <v>19</v>
      </c>
    </row>
    <row r="10" spans="1:11" ht="22.5" hidden="1" customHeight="1">
      <c r="A10" s="1991"/>
      <c r="D10" s="13"/>
      <c r="E10" s="1629" t="s">
        <v>20</v>
      </c>
      <c r="F10" s="1627"/>
      <c r="G10" s="12"/>
      <c r="J10" s="773" t="s">
        <v>21</v>
      </c>
    </row>
    <row r="11" spans="1:11" s="1829" customFormat="1" ht="22.5" hidden="1" customHeight="1">
      <c r="A11" s="694" t="s">
        <v>22</v>
      </c>
      <c r="B11" s="36"/>
      <c r="C11" s="343"/>
      <c r="D11" s="345"/>
      <c r="E11" s="1629" t="s">
        <v>23</v>
      </c>
      <c r="F11" s="1627" t="s">
        <v>17</v>
      </c>
      <c r="G11" s="15"/>
      <c r="H11" s="677"/>
      <c r="I11" s="346"/>
      <c r="J11" s="773" t="s">
        <v>24</v>
      </c>
    </row>
    <row r="12" spans="1:11" s="1829" customFormat="1" ht="27" customHeight="1">
      <c r="A12" s="694" t="s">
        <v>25</v>
      </c>
      <c r="B12" s="36"/>
      <c r="C12" s="343"/>
      <c r="D12" s="345"/>
      <c r="E12" s="1629" t="s">
        <v>26</v>
      </c>
      <c r="F12" s="1633">
        <v>2023</v>
      </c>
      <c r="G12" s="15"/>
      <c r="H12" s="677"/>
      <c r="I12" s="346"/>
      <c r="J12" s="773" t="s">
        <v>27</v>
      </c>
    </row>
    <row r="13" spans="1:11" s="1829" customFormat="1" ht="19.5" hidden="1" customHeight="1">
      <c r="A13" s="694" t="s">
        <v>28</v>
      </c>
      <c r="B13" s="36"/>
      <c r="C13" s="343"/>
      <c r="D13" s="345"/>
      <c r="E13" s="1629" t="s">
        <v>29</v>
      </c>
      <c r="F13" s="1628"/>
      <c r="G13" s="15"/>
      <c r="H13" s="677"/>
      <c r="I13" s="346"/>
      <c r="J13" s="773" t="s">
        <v>30</v>
      </c>
    </row>
    <row r="14" spans="1:11" s="1650" customFormat="1" ht="6" customHeight="1">
      <c r="A14" s="691"/>
      <c r="B14" s="153"/>
      <c r="C14" s="154"/>
      <c r="D14" s="159"/>
      <c r="E14" s="157"/>
      <c r="F14" s="160"/>
      <c r="G14" s="15"/>
      <c r="H14" s="344"/>
      <c r="I14" s="346"/>
      <c r="J14" s="771"/>
    </row>
    <row r="15" spans="1:11" ht="19.5" customHeight="1">
      <c r="D15" s="13"/>
      <c r="E15" s="323" t="s">
        <v>31</v>
      </c>
      <c r="F15" s="138" t="s">
        <v>32</v>
      </c>
      <c r="G15" s="12"/>
      <c r="H15" s="680" t="s">
        <v>18</v>
      </c>
    </row>
    <row r="16" spans="1:11" ht="22.5" hidden="1" customHeight="1">
      <c r="D16" s="13"/>
      <c r="E16" s="323" t="s">
        <v>33</v>
      </c>
      <c r="F16" s="1590" t="s">
        <v>34</v>
      </c>
      <c r="G16" s="12"/>
      <c r="I16" s="681"/>
      <c r="J16" s="1990" t="s">
        <v>35</v>
      </c>
    </row>
    <row r="17" spans="1:10" ht="22.5" hidden="1" customHeight="1">
      <c r="D17" s="13"/>
      <c r="E17" s="323" t="s">
        <v>36</v>
      </c>
      <c r="F17" s="1590"/>
      <c r="G17" s="12"/>
      <c r="I17" s="681"/>
      <c r="J17" s="1990"/>
    </row>
    <row r="18" spans="1:10" ht="22.5" hidden="1" customHeight="1">
      <c r="D18" s="13"/>
      <c r="E18" s="14"/>
      <c r="F18" s="188" t="str">
        <f>"Первичное "&amp;IF(TEMPLATE_GROUP="P","установление тарифов","предложение по тарифам")</f>
        <v>Первичное предложение по тарифам</v>
      </c>
      <c r="G18" s="12"/>
      <c r="I18" s="326"/>
      <c r="J18" s="772" t="s">
        <v>37</v>
      </c>
    </row>
    <row r="19" spans="1:10" ht="19.5" hidden="1" customHeight="1">
      <c r="D19" s="13"/>
      <c r="E19" s="323" t="str">
        <f>"Дата "&amp;IF(TEMPLATE_GROUP="P","документа","подачи заявления")&amp;" об "&amp;IF(TITLE_DATE_PR_CHANGE="","утверждении","изменении")&amp;" тарифов"</f>
        <v>Дата подачи заявления об утверждении тарифов</v>
      </c>
      <c r="F19" s="1589" t="s">
        <v>17</v>
      </c>
      <c r="G19" s="12"/>
      <c r="I19" s="682"/>
    </row>
    <row r="20" spans="1:10" ht="19.5" hidden="1" customHeight="1">
      <c r="D20" s="13"/>
      <c r="E20" s="323" t="str">
        <f>"Номер "&amp;IF(TEMPLATE_GROUP="P","документа","подачи заявления")&amp;" об "&amp;IF(TITLE_NUMBER_PR_CHANGE="","утверждении","изменении")&amp;" тарифов"</f>
        <v>Номер подачи заявления об утверждении тарифов</v>
      </c>
      <c r="F20" s="138"/>
      <c r="G20" s="12"/>
      <c r="I20" s="682"/>
    </row>
    <row r="21" spans="1:10" ht="22.5" hidden="1" customHeight="1">
      <c r="D21" s="13"/>
      <c r="E21" s="323" t="s">
        <v>38</v>
      </c>
      <c r="F21" s="138"/>
      <c r="G21" s="12"/>
    </row>
    <row r="22" spans="1:10" ht="19.5" hidden="1" customHeight="1">
      <c r="D22" s="13"/>
      <c r="E22" s="323" t="s">
        <v>39</v>
      </c>
      <c r="F22" s="138"/>
      <c r="G22" s="12"/>
    </row>
    <row r="23" spans="1:10" ht="22.5" hidden="1" customHeight="1">
      <c r="D23" s="13"/>
      <c r="E23" s="14"/>
      <c r="F23" s="188" t="str">
        <f>"Изменение "&amp;IF(TEMPLATE_GROUP="P","тарифов","предложения по тарифам")</f>
        <v>Изменение предложения по тарифам</v>
      </c>
      <c r="G23" s="12"/>
      <c r="J23" s="772" t="s">
        <v>40</v>
      </c>
    </row>
    <row r="24" spans="1:10" ht="22.5" hidden="1" customHeight="1">
      <c r="D24" s="13"/>
      <c r="E24" s="323" t="s">
        <v>41</v>
      </c>
      <c r="F24" s="140"/>
      <c r="G24" s="12"/>
    </row>
    <row r="25" spans="1:10" ht="19.5" hidden="1" customHeight="1">
      <c r="D25" s="13"/>
      <c r="E25" s="323" t="s">
        <v>42</v>
      </c>
      <c r="F25" s="1590"/>
      <c r="G25" s="12"/>
    </row>
    <row r="26" spans="1:10" ht="19.5" hidden="1" customHeight="1">
      <c r="D26" s="13"/>
      <c r="E26" s="323" t="s">
        <v>43</v>
      </c>
      <c r="F26" s="140"/>
      <c r="G26" s="12"/>
    </row>
    <row r="27" spans="1:10" ht="19.5" hidden="1" customHeight="1">
      <c r="D27" s="13"/>
      <c r="E27" s="323" t="s">
        <v>39</v>
      </c>
      <c r="F27" s="140"/>
      <c r="G27" s="12"/>
    </row>
    <row r="28" spans="1:10" s="1650" customFormat="1" ht="6" customHeight="1">
      <c r="A28" s="691"/>
      <c r="B28" s="153"/>
      <c r="C28" s="154"/>
      <c r="D28" s="159"/>
      <c r="E28" s="157"/>
      <c r="F28" s="160"/>
      <c r="G28" s="15"/>
      <c r="H28" s="344"/>
      <c r="I28" s="346"/>
      <c r="J28" s="771"/>
    </row>
    <row r="29" spans="1:10" ht="19.5" customHeight="1">
      <c r="C29" s="16"/>
      <c r="D29" s="17"/>
      <c r="E29" s="323" t="s">
        <v>44</v>
      </c>
      <c r="F29" s="139" t="s">
        <v>45</v>
      </c>
      <c r="G29" s="683"/>
    </row>
    <row r="30" spans="1:10" ht="19.5" hidden="1" customHeight="1">
      <c r="C30" s="16"/>
      <c r="D30" s="17"/>
      <c r="E30" s="324" t="s">
        <v>46</v>
      </c>
      <c r="F30" s="1630"/>
      <c r="G30" s="683"/>
    </row>
    <row r="31" spans="1:10" ht="19.5" customHeight="1">
      <c r="C31" s="16"/>
      <c r="D31" s="17"/>
      <c r="E31" s="323" t="s">
        <v>47</v>
      </c>
      <c r="F31" s="139" t="s">
        <v>48</v>
      </c>
      <c r="G31" s="683"/>
    </row>
    <row r="32" spans="1:10" ht="19.5" customHeight="1">
      <c r="C32" s="16"/>
      <c r="D32" s="17"/>
      <c r="E32" s="323" t="s">
        <v>49</v>
      </c>
      <c r="F32" s="139" t="s">
        <v>50</v>
      </c>
      <c r="G32" s="683"/>
      <c r="H32" s="18"/>
    </row>
    <row r="33" spans="1:10" s="1650" customFormat="1" ht="11.25" customHeight="1">
      <c r="A33" s="691"/>
      <c r="B33" s="153"/>
      <c r="C33" s="154"/>
      <c r="D33" s="159"/>
      <c r="E33" s="157"/>
      <c r="F33" s="160"/>
      <c r="G33" s="15"/>
      <c r="H33" s="344"/>
      <c r="I33" s="346"/>
      <c r="J33" s="771"/>
    </row>
    <row r="34" spans="1:10" ht="19.5" hidden="1" customHeight="1">
      <c r="A34" s="776"/>
      <c r="D34" s="17"/>
      <c r="E34" s="323" t="s">
        <v>51</v>
      </c>
      <c r="F34" s="272"/>
      <c r="G34" s="15"/>
    </row>
    <row r="35" spans="1:10" ht="19.5" customHeight="1">
      <c r="A35" s="776"/>
      <c r="D35" s="17"/>
      <c r="E35" s="323" t="s">
        <v>52</v>
      </c>
      <c r="F35" s="272" t="s">
        <v>53</v>
      </c>
      <c r="G35" s="15"/>
    </row>
    <row r="36" spans="1:10" s="1650" customFormat="1" ht="6" customHeight="1">
      <c r="A36" s="691"/>
      <c r="B36" s="153"/>
      <c r="C36" s="154"/>
      <c r="D36" s="155"/>
      <c r="E36" s="156"/>
      <c r="F36" s="939"/>
      <c r="G36" s="12"/>
      <c r="H36" s="344"/>
      <c r="I36" s="346"/>
      <c r="J36" s="773"/>
    </row>
    <row r="37" spans="1:10" ht="22.5" customHeight="1">
      <c r="A37" s="691"/>
      <c r="D37" s="13"/>
      <c r="E37" s="323" t="s">
        <v>54</v>
      </c>
      <c r="F37" s="623" t="s">
        <v>55</v>
      </c>
      <c r="G37" s="12"/>
      <c r="H37" s="680" t="s">
        <v>18</v>
      </c>
    </row>
    <row r="38" spans="1:10" s="1650" customFormat="1" ht="6" hidden="1" customHeight="1">
      <c r="A38" s="690"/>
      <c r="B38" s="360"/>
      <c r="C38" s="361"/>
      <c r="D38" s="362"/>
      <c r="E38" s="363"/>
      <c r="F38" s="939"/>
      <c r="G38" s="12"/>
      <c r="H38" s="344"/>
      <c r="I38" s="346"/>
      <c r="J38" s="773"/>
    </row>
    <row r="39" spans="1:10" s="1829" customFormat="1" ht="19.5" hidden="1" customHeight="1">
      <c r="A39" s="694" t="s">
        <v>22</v>
      </c>
      <c r="B39" s="348"/>
      <c r="C39" s="343"/>
      <c r="D39" s="345"/>
      <c r="E39" s="323" t="str">
        <f>"Дифференциация информации по централизованным системам  "&amp;TEMPLATE_SPHERE_RUS</f>
        <v>Дифференциация информации по централизованным системам  горячего водоснабжения</v>
      </c>
      <c r="F39" s="623" t="s">
        <v>55</v>
      </c>
      <c r="G39" s="12"/>
      <c r="I39" s="346"/>
      <c r="J39" s="773"/>
    </row>
    <row r="40" spans="1:10" s="1650" customFormat="1" ht="6" hidden="1" customHeight="1">
      <c r="A40" s="690"/>
      <c r="B40" s="360"/>
      <c r="C40" s="361"/>
      <c r="D40" s="362"/>
      <c r="E40" s="363"/>
      <c r="F40" s="939"/>
      <c r="G40" s="12"/>
      <c r="H40" s="344"/>
      <c r="I40" s="346"/>
      <c r="J40" s="771"/>
    </row>
    <row r="41" spans="1:10" s="1829" customFormat="1" ht="22.5" hidden="1" customHeight="1">
      <c r="A41" s="690"/>
      <c r="B41" s="348"/>
      <c r="C41" s="343"/>
      <c r="D41" s="345"/>
      <c r="E41" s="323" t="s">
        <v>56</v>
      </c>
      <c r="F41" s="623"/>
      <c r="G41" s="12"/>
      <c r="I41" s="346"/>
      <c r="J41" s="773"/>
    </row>
    <row r="42" spans="1:10" s="1829" customFormat="1" ht="22.5" hidden="1" customHeight="1">
      <c r="A42" s="690"/>
      <c r="B42" s="348"/>
      <c r="C42" s="343"/>
      <c r="D42" s="345"/>
      <c r="E42" s="1039" t="s">
        <v>57</v>
      </c>
      <c r="F42" s="663"/>
      <c r="G42" s="12"/>
      <c r="I42" s="346"/>
      <c r="J42" s="773"/>
    </row>
    <row r="43" spans="1:10" s="1650" customFormat="1" ht="6" hidden="1" customHeight="1">
      <c r="A43" s="690"/>
      <c r="B43" s="360"/>
      <c r="C43" s="361"/>
      <c r="D43" s="362"/>
      <c r="E43" s="363"/>
      <c r="F43" s="939"/>
      <c r="G43" s="12"/>
      <c r="H43" s="344"/>
      <c r="I43" s="346"/>
      <c r="J43" s="773"/>
    </row>
    <row r="44" spans="1:10" s="1650" customFormat="1" ht="22.5" hidden="1" customHeight="1">
      <c r="A44" s="690"/>
      <c r="B44" s="360"/>
      <c r="C44" s="361"/>
      <c r="D44" s="362"/>
      <c r="E44" s="1039" t="s">
        <v>58</v>
      </c>
      <c r="F44" s="623" t="s">
        <v>55</v>
      </c>
      <c r="G44" s="12"/>
      <c r="H44" s="344"/>
      <c r="I44" s="346"/>
      <c r="J44" s="773"/>
    </row>
    <row r="45" spans="1:10" s="1829" customFormat="1" ht="22.5" hidden="1" customHeight="1">
      <c r="A45" s="690"/>
      <c r="B45" s="348"/>
      <c r="C45" s="343"/>
      <c r="D45" s="345"/>
      <c r="E45" s="1039" t="s">
        <v>59</v>
      </c>
      <c r="F45" s="623" t="s">
        <v>55</v>
      </c>
      <c r="G45" s="12"/>
      <c r="I45" s="346"/>
      <c r="J45" s="773"/>
    </row>
    <row r="46" spans="1:10" s="1650" customFormat="1" ht="6" hidden="1" customHeight="1">
      <c r="A46" s="690"/>
      <c r="B46" s="153"/>
      <c r="C46" s="154"/>
      <c r="D46" s="155"/>
      <c r="E46" s="156"/>
      <c r="F46" s="939"/>
      <c r="G46" s="12"/>
      <c r="H46" s="344"/>
      <c r="I46" s="346"/>
      <c r="J46" s="773"/>
    </row>
    <row r="47" spans="1:10" ht="19.5" hidden="1" customHeight="1">
      <c r="B47" s="77"/>
      <c r="D47" s="13"/>
      <c r="E47" s="323" t="str">
        <f>"Организация осуществляет подключение (технологическое присоединение) к системе "&amp;TEMPLATE_SPHERE_RUS</f>
        <v>Организация осуществляет подключение (технологическое присоединение) к системе горячего водоснабжения</v>
      </c>
      <c r="F47" s="623"/>
      <c r="G47" s="12"/>
    </row>
    <row r="48" spans="1:10" s="1650" customFormat="1" ht="6" customHeight="1">
      <c r="A48" s="691"/>
      <c r="B48" s="360"/>
      <c r="C48" s="361"/>
      <c r="D48" s="159"/>
      <c r="E48" s="157"/>
      <c r="F48" s="160"/>
      <c r="G48" s="15"/>
      <c r="H48" s="344"/>
      <c r="I48" s="346"/>
      <c r="J48" s="773"/>
    </row>
    <row r="49" spans="1:16" s="1829" customFormat="1" ht="22.5" customHeight="1">
      <c r="A49" s="692"/>
      <c r="B49" s="348"/>
      <c r="C49" s="458"/>
      <c r="D49" s="459"/>
      <c r="E49" s="323" t="s">
        <v>60</v>
      </c>
      <c r="F49" s="623" t="s">
        <v>55</v>
      </c>
      <c r="G49" s="460"/>
      <c r="I49" s="461"/>
      <c r="J49" s="775"/>
      <c r="P49" s="462"/>
    </row>
    <row r="50" spans="1:16" s="1650" customFormat="1" ht="6" customHeight="1">
      <c r="A50" s="691"/>
      <c r="B50" s="360"/>
      <c r="C50" s="361"/>
      <c r="D50" s="159"/>
      <c r="E50" s="157"/>
      <c r="F50" s="160"/>
      <c r="G50" s="15"/>
      <c r="H50" s="344"/>
      <c r="I50" s="346"/>
      <c r="J50" s="771"/>
    </row>
    <row r="51" spans="1:16" s="1829" customFormat="1" ht="22.5" customHeight="1">
      <c r="A51" s="692"/>
      <c r="B51" s="348"/>
      <c r="C51" s="458"/>
      <c r="D51" s="459"/>
      <c r="E51" s="323" t="s">
        <v>61</v>
      </c>
      <c r="F51" s="934" t="s">
        <v>62</v>
      </c>
      <c r="G51" s="460"/>
      <c r="I51" s="461"/>
      <c r="J51" s="775"/>
      <c r="P51" s="462"/>
    </row>
    <row r="52" spans="1:16" s="1829" customFormat="1" ht="22.5" customHeight="1">
      <c r="A52" s="692"/>
      <c r="B52" s="348"/>
      <c r="C52" s="458"/>
      <c r="D52" s="459"/>
      <c r="E52" s="323" t="s">
        <v>63</v>
      </c>
      <c r="F52" s="1733" t="s">
        <v>64</v>
      </c>
      <c r="G52" s="460"/>
      <c r="I52" s="461"/>
      <c r="J52" s="775"/>
      <c r="P52" s="462"/>
    </row>
    <row r="53" spans="1:16" s="1650" customFormat="1" ht="6" customHeight="1">
      <c r="A53" s="691"/>
      <c r="B53" s="360"/>
      <c r="C53" s="361"/>
      <c r="D53" s="159"/>
      <c r="E53" s="157"/>
      <c r="F53" s="160"/>
      <c r="G53" s="15"/>
      <c r="H53" s="344"/>
      <c r="I53" s="346"/>
      <c r="J53" s="771"/>
    </row>
    <row r="54" spans="1:16" s="1829" customFormat="1" ht="22.5" customHeight="1">
      <c r="A54" s="692"/>
      <c r="B54" s="348"/>
      <c r="C54" s="458"/>
      <c r="D54" s="459"/>
      <c r="E54" s="323" t="s">
        <v>65</v>
      </c>
      <c r="F54" s="934" t="s">
        <v>62</v>
      </c>
      <c r="G54" s="460"/>
      <c r="I54" s="461"/>
      <c r="J54" s="775"/>
      <c r="P54" s="462"/>
    </row>
    <row r="55" spans="1:16" s="1650" customFormat="1" ht="6" customHeight="1">
      <c r="A55" s="691"/>
      <c r="B55" s="360"/>
      <c r="C55" s="361"/>
      <c r="D55" s="159"/>
      <c r="E55" s="157"/>
      <c r="F55" s="160"/>
      <c r="G55" s="15"/>
      <c r="H55" s="344"/>
      <c r="I55" s="346"/>
      <c r="J55" s="771"/>
    </row>
    <row r="56" spans="1:16" s="1829" customFormat="1" ht="15" customHeight="1">
      <c r="A56" s="692"/>
      <c r="B56" s="348"/>
      <c r="C56" s="458"/>
      <c r="D56" s="459"/>
      <c r="E56" s="323" t="s">
        <v>66</v>
      </c>
      <c r="F56" s="934" t="s">
        <v>55</v>
      </c>
      <c r="G56" s="460"/>
      <c r="I56" s="461"/>
      <c r="J56" s="775"/>
      <c r="P56" s="462"/>
    </row>
    <row r="57" spans="1:16" s="1829" customFormat="1" ht="15" hidden="1" customHeight="1">
      <c r="A57" s="692"/>
      <c r="B57" s="348"/>
      <c r="C57" s="458"/>
      <c r="D57" s="459"/>
      <c r="E57" s="323" t="str">
        <f>"Инвестиционная программа относится к деятельности, при осуществлении которой расчеты за товары (услуги) в сфере  "&amp;TEMPLATE_SPHERE_RUS&amp;" осуществляются по регулируемым ценам (тарифам) (за исключением деятельности по подключению (технологическому присоединению) к системе  "&amp;TEMPLATE_SPHERE_RUS&amp;")"</f>
        <v>Инвестиционная программа относится к деятельности, при осуществлении которой расчеты за товары (услуги) в сфере  горячего водоснабжения осуществляются по регулируемым ценам (тарифам) (за исключением деятельности по подключению (технологическому присоединению) к системе  горячего водоснабжения)</v>
      </c>
      <c r="F57" s="1057" t="str">
        <f>F56</f>
        <v>нет</v>
      </c>
      <c r="G57" s="460"/>
      <c r="I57" s="461"/>
      <c r="J57" s="775"/>
      <c r="P57" s="462"/>
    </row>
    <row r="58" spans="1:16" s="1829" customFormat="1" ht="15" hidden="1" customHeight="1">
      <c r="A58" s="692"/>
      <c r="B58" s="348"/>
      <c r="C58" s="458"/>
      <c r="D58" s="459"/>
      <c r="E58" s="1039" t="s">
        <v>67</v>
      </c>
      <c r="F58" s="1734" t="str">
        <f>F57</f>
        <v>нет</v>
      </c>
      <c r="G58" s="460"/>
      <c r="I58" s="461"/>
      <c r="J58" s="775"/>
      <c r="P58" s="462"/>
    </row>
    <row r="59" spans="1:16" s="1650" customFormat="1" ht="6" hidden="1" customHeight="1">
      <c r="A59" s="691"/>
      <c r="B59" s="360"/>
      <c r="C59" s="361"/>
      <c r="D59" s="362"/>
      <c r="E59" s="363"/>
      <c r="F59" s="939"/>
      <c r="G59" s="12"/>
      <c r="H59" s="344"/>
      <c r="I59" s="346"/>
      <c r="J59" s="773"/>
    </row>
    <row r="60" spans="1:16" s="1829" customFormat="1" ht="33.75" hidden="1" customHeight="1">
      <c r="A60" s="691"/>
      <c r="B60" s="36"/>
      <c r="C60" s="343"/>
      <c r="D60" s="345"/>
      <c r="E60" s="1039" t="s">
        <v>68</v>
      </c>
      <c r="F60" s="1529" t="s">
        <v>62</v>
      </c>
      <c r="G60" s="12"/>
      <c r="H60" s="680" t="s">
        <v>18</v>
      </c>
      <c r="I60" s="346"/>
      <c r="J60" s="773"/>
    </row>
    <row r="61" spans="1:16" s="1650" customFormat="1" ht="6" customHeight="1">
      <c r="A61" s="691"/>
      <c r="B61" s="153"/>
      <c r="C61" s="154"/>
      <c r="D61" s="159"/>
      <c r="E61" s="157"/>
      <c r="F61" s="160"/>
      <c r="G61" s="15"/>
      <c r="H61" s="344"/>
      <c r="I61" s="346"/>
      <c r="J61" s="771"/>
    </row>
    <row r="62" spans="1:16" ht="19.5" customHeight="1">
      <c r="A62" s="693"/>
      <c r="B62" s="37"/>
      <c r="D62" s="20"/>
      <c r="E62" s="323" t="s">
        <v>69</v>
      </c>
      <c r="F62" s="138" t="s">
        <v>70</v>
      </c>
      <c r="G62" s="15"/>
    </row>
    <row r="63" spans="1:16" ht="19.5" customHeight="1">
      <c r="A63" s="693"/>
      <c r="B63" s="37"/>
      <c r="D63" s="20"/>
      <c r="E63" s="323" t="s">
        <v>71</v>
      </c>
      <c r="F63" s="138" t="s">
        <v>72</v>
      </c>
      <c r="G63" s="15"/>
    </row>
    <row r="64" spans="1:16" ht="35.25" customHeight="1">
      <c r="D64" s="13"/>
      <c r="E64" s="325" t="s">
        <v>73</v>
      </c>
      <c r="F64" s="940"/>
      <c r="G64" s="12"/>
    </row>
    <row r="65" spans="1:9" ht="19.5" customHeight="1">
      <c r="A65" s="693"/>
      <c r="D65" s="345"/>
      <c r="E65" s="323" t="s">
        <v>74</v>
      </c>
      <c r="F65" s="189" t="s">
        <v>75</v>
      </c>
      <c r="G65" s="15"/>
    </row>
    <row r="66" spans="1:9" ht="19.5" customHeight="1">
      <c r="A66" s="693"/>
      <c r="B66" s="37"/>
      <c r="D66" s="20"/>
      <c r="E66" s="323" t="s">
        <v>76</v>
      </c>
      <c r="F66" s="189" t="s">
        <v>77</v>
      </c>
      <c r="G66" s="15"/>
    </row>
    <row r="67" spans="1:9" ht="19.5" customHeight="1">
      <c r="A67" s="693"/>
      <c r="B67" s="37"/>
      <c r="D67" s="20"/>
      <c r="E67" s="323" t="s">
        <v>78</v>
      </c>
      <c r="F67" s="189" t="s">
        <v>79</v>
      </c>
      <c r="G67" s="15"/>
    </row>
    <row r="68" spans="1:9" ht="19.5" customHeight="1">
      <c r="D68" s="345"/>
      <c r="E68" s="323" t="s">
        <v>80</v>
      </c>
      <c r="F68" s="1735" t="s">
        <v>81</v>
      </c>
      <c r="G68" s="12"/>
    </row>
    <row r="69" spans="1:9" ht="20.25" customHeight="1">
      <c r="A69" s="693"/>
      <c r="D69" s="12"/>
      <c r="F69" s="64"/>
      <c r="G69" s="15"/>
    </row>
    <row r="70" spans="1:9" ht="19.5" customHeight="1">
      <c r="A70" s="693"/>
      <c r="B70" s="37"/>
      <c r="D70" s="20"/>
      <c r="E70" s="19"/>
      <c r="F70" s="65"/>
      <c r="G70" s="15"/>
    </row>
    <row r="71" spans="1:9" ht="19.5" customHeight="1">
      <c r="A71" s="693"/>
      <c r="B71" s="37"/>
      <c r="D71" s="20"/>
      <c r="E71" s="19"/>
      <c r="F71" s="65"/>
      <c r="G71" s="15"/>
    </row>
    <row r="72" spans="1:9" ht="19.5" customHeight="1">
      <c r="A72" s="693"/>
      <c r="B72" s="37"/>
      <c r="D72" s="20"/>
      <c r="E72" s="25"/>
      <c r="F72" s="65"/>
      <c r="G72" s="15"/>
    </row>
    <row r="73" spans="1:9" ht="19.5" customHeight="1">
      <c r="A73" s="693"/>
      <c r="B73" s="37"/>
      <c r="D73" s="20"/>
      <c r="E73" s="19"/>
      <c r="F73" s="65"/>
      <c r="G73" s="15"/>
    </row>
    <row r="76" spans="1:9" ht="11.25" customHeight="1">
      <c r="E76" s="322"/>
      <c r="F76" s="322"/>
      <c r="G76" s="322"/>
      <c r="H76" s="322"/>
      <c r="I76" s="322"/>
    </row>
  </sheetData>
  <sheetProtection formatColumns="0" formatRows="0" insertRows="0" deleteColumns="0" deleteRows="0" sort="0" autoFilter="0"/>
  <mergeCells count="3">
    <mergeCell ref="E5:F5"/>
    <mergeCell ref="J16:J17"/>
    <mergeCell ref="A9:A10"/>
  </mergeCells>
  <dataValidations count="11">
    <dataValidation type="textLength" operator="lessThanOrEqual" allowBlank="1" showInputMessage="1" showErrorMessage="1" errorTitle="Ошибка" error="Допускается ввод не более 900 символов!" sqref="F30">
      <formula1>900</formula1>
    </dataValidation>
    <dataValidation type="list" allowBlank="1" showInputMessage="1" showErrorMessage="1" errorTitle="Ошибка" error="Выберите значение из списка" prompt="Выберите значение из списка" sqref="F58">
      <formula1>TITLE_IP_DETAILED_METHOD_LIST</formula1>
    </dataValidation>
    <dataValidation allowBlank="1" showInputMessage="1" showErrorMessage="1" prompt="Выберите значение из календаря (иконка справа от выбранной ячейки), либо введите дату непосредственно в ячейку в формате - 'ДД.ММ.ГГГГ'" sqref="F52"/>
    <dataValidation type="list" allowBlank="1" showInputMessage="1" showErrorMessage="1" errorTitle="Ошибка" error="Выберите значение из списка" prompt="Выберите значение из списка" sqref="F13">
      <formula1>QUARTER</formula1>
    </dataValidation>
    <dataValidation type="list" allowBlank="1" showInputMessage="1" showErrorMessage="1" errorTitle="Ошибка" error="Выберите значение из списка" prompt="Выберите значение из списка" sqref="F12">
      <formula1>year_list</formula1>
    </dataValidation>
    <dataValidation type="list" allowBlank="1" showInputMessage="1" showErrorMessage="1" errorTitle="Ошибка" error="Выберите значение из списка" prompt="Выберите значение из списка" sqref="F34">
      <formula1>kind_of_org_type</formula1>
    </dataValidation>
    <dataValidation allowBlank="1" showInputMessage="1" showErrorMessage="1" prompt="Для выбора выполните двойной щелчок левой клавиши мыши по соответствующей ячейке." sqref="F47 F51 F54 F56 F49 F37:F39 F41 F43:F45 F60"/>
    <dataValidation type="list" allowBlank="1" showInputMessage="1" showErrorMessage="1" errorTitle="Ошибка" error="Выберите значение из списка" prompt="Выберите значение из списка" sqref="F15">
      <formula1>kind_of_data_type</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F25 F19 F16:F17 F9:F11"/>
    <dataValidation type="list" allowBlank="1" showInputMessage="1" showErrorMessage="1" errorTitle="Ошибка" error="Выберите значение из списка" prompt="Выберите значение из списка" sqref="F35:F36 F59">
      <formula1>kind_of_NDS</formula1>
    </dataValidation>
    <dataValidation type="textLength" operator="lessThanOrEqual" allowBlank="1" showInputMessage="1" showErrorMessage="1" errorTitle="Ошибка" error="Допускается ввод не более 900 символов!" sqref="F70:F73 F26:F27 F62:F63 F65:F68 F20:F22 F24">
      <formula1>900</formula1>
    </dataValidation>
  </dataValidations>
  <hyperlinks>
    <hyperlink ref="H9" location="Титульный!H9" tooltip="Помощь по работе с полями отчётной формы" display="Как заполнить?"/>
    <hyperlink ref="H15" location="Титульный!H9" tooltip="Помощь по работе с полями отчётной формы" display="Как заполнить?"/>
    <hyperlink ref="H37" location="Титульный!H9" tooltip="Помощь по работе с полями отчётной формы" display="Как заполнить?"/>
    <hyperlink ref="H60" location="Титульный!H9" tooltip="Помощь по работе с полями отчётной формы" display="Как заполнить?"/>
    <hyperlink ref="F68" r:id="rId1"/>
  </hyperlinks>
  <pageMargins left="0.74803149606299213" right="0.74803149606299213" top="0.98425196850393704" bottom="0.98425196850393704" header="0.51181102362204722" footer="0.51181102362204722"/>
  <pageSetup paperSize="8" scale="85" orientation="portrait" r:id="rId2"/>
  <headerFooter>
    <oddHeader>&amp;L&amp;C&amp;R</oddHeader>
    <oddFooter>&amp;L&amp;C&amp;R</oddFooter>
    <evenHeader>&amp;L&amp;C&amp;R</evenHeader>
    <evenFooter>&amp;L&amp;C&amp;R</evenFooter>
  </headerFooter>
  <drawing r:id="rId3"/>
  <legacyDrawing r:id="rId4"/>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39997558519241921"/>
  </sheetPr>
  <dimension ref="A1:AR65"/>
  <sheetViews>
    <sheetView showGridLines="0" topLeftCell="Q25" zoomScale="90" workbookViewId="0"/>
  </sheetViews>
  <sheetFormatPr defaultColWidth="10.5703125" defaultRowHeight="14.25" customHeight="1"/>
  <cols>
    <col min="1" max="1" width="10.5703125" style="1742" hidden="1"/>
    <col min="2" max="2" width="11" style="1742" hidden="1" customWidth="1"/>
    <col min="3" max="3" width="10.5703125" style="1742" hidden="1"/>
    <col min="4" max="4" width="11.85546875" style="1742" hidden="1" customWidth="1"/>
    <col min="5" max="5" width="10" style="1742" hidden="1" customWidth="1"/>
    <col min="6" max="6" width="8.7109375" style="1742" hidden="1" customWidth="1"/>
    <col min="7" max="7" width="7.5703125" style="1742" hidden="1" customWidth="1"/>
    <col min="8" max="8" width="11.42578125" style="1742" hidden="1" customWidth="1"/>
    <col min="9" max="9" width="12" style="1742" hidden="1" customWidth="1"/>
    <col min="10" max="10" width="9.85546875" style="1742" hidden="1" customWidth="1"/>
    <col min="11" max="11" width="11.42578125" style="1742" hidden="1" customWidth="1"/>
    <col min="12" max="12" width="19.140625" style="1741" hidden="1" customWidth="1"/>
    <col min="13" max="14" width="12.28515625" style="1683" hidden="1" customWidth="1"/>
    <col min="15" max="15" width="23.42578125" style="1683" hidden="1" customWidth="1"/>
    <col min="16" max="16" width="3.7109375" style="1720" hidden="1" customWidth="1"/>
    <col min="17" max="18" width="3.7109375" style="1674" customWidth="1"/>
    <col min="19" max="19" width="12.7109375" style="1713" customWidth="1"/>
    <col min="20" max="20" width="32" style="1829" customWidth="1"/>
    <col min="21" max="21" width="0.140625" style="1829" customWidth="1"/>
    <col min="22" max="22" width="24.7109375" style="1829" hidden="1" customWidth="1"/>
    <col min="23" max="23" width="0.140625" style="1829" hidden="1" customWidth="1"/>
    <col min="24" max="25" width="24.7109375" style="1829" hidden="1" customWidth="1"/>
    <col min="26" max="26" width="11.7109375" style="1829" hidden="1" customWidth="1"/>
    <col min="27" max="27" width="3.7109375" style="1829" hidden="1" customWidth="1"/>
    <col min="28" max="28" width="11.7109375" style="1829" hidden="1" customWidth="1"/>
    <col min="29" max="29" width="8.5703125" style="1829" hidden="1" customWidth="1"/>
    <col min="30" max="30" width="24.7109375" style="1829" customWidth="1"/>
    <col min="31" max="31" width="0.140625" style="1829" customWidth="1"/>
    <col min="32" max="33" width="24.7109375" style="1829" customWidth="1"/>
    <col min="34" max="34" width="11.7109375" style="1829" customWidth="1"/>
    <col min="35" max="35" width="3.7109375" style="1829" customWidth="1"/>
    <col min="36" max="36" width="11.7109375" style="1829" customWidth="1"/>
    <col min="37" max="37" width="8.5703125" style="1829" hidden="1" customWidth="1"/>
    <col min="38" max="38" width="4.7109375" style="1829" customWidth="1"/>
    <col min="39" max="39" width="115.7109375" style="1829" customWidth="1"/>
    <col min="40" max="41" width="10.5703125" style="1755"/>
    <col min="42" max="42" width="11.140625" style="1755" customWidth="1"/>
    <col min="43" max="44" width="10.5703125" style="1755"/>
  </cols>
  <sheetData>
    <row r="1" spans="1:44" ht="14.25" hidden="1" customHeight="1">
      <c r="Y1" s="254"/>
      <c r="Z1" s="254"/>
      <c r="AG1" s="254"/>
      <c r="AH1" s="254"/>
    </row>
    <row r="2" spans="1:44" ht="21" hidden="1" customHeight="1">
      <c r="A2" s="1242"/>
      <c r="B2" s="1242"/>
      <c r="C2" s="1242"/>
      <c r="D2" s="1242"/>
      <c r="E2" s="2221">
        <v>1</v>
      </c>
      <c r="F2" s="1242"/>
      <c r="G2" s="1242"/>
      <c r="H2" s="1242"/>
      <c r="I2" s="1242"/>
      <c r="J2" s="1242"/>
      <c r="K2" s="1242"/>
      <c r="L2" s="1243"/>
      <c r="M2" s="1244"/>
      <c r="N2" s="1244"/>
      <c r="O2" s="1244"/>
      <c r="P2" s="285"/>
      <c r="Q2" s="284"/>
      <c r="R2" s="279"/>
      <c r="S2" s="1219" t="e">
        <f>INDEX(PT_DIFFERENTIATION_NUM_NTAR,MATCH(A2,PT_DIFFERENTIATION_NTAR_ID,0))</f>
        <v>#N/A</v>
      </c>
      <c r="T2" s="216" t="s">
        <v>124</v>
      </c>
      <c r="U2" s="218"/>
      <c r="V2" s="2215"/>
      <c r="W2" s="2216"/>
      <c r="X2" s="2216"/>
      <c r="Y2" s="2216"/>
      <c r="Z2" s="2216"/>
      <c r="AA2" s="2216"/>
      <c r="AB2" s="2216"/>
      <c r="AC2" s="2217"/>
      <c r="AD2" s="2215" t="e">
        <f>INDEX(PT_DIFFERENTIATION_NTAR,MATCH(A2,PT_DIFFERENTIATION_NTAR_ID,0))</f>
        <v>#N/A</v>
      </c>
      <c r="AE2" s="2216"/>
      <c r="AF2" s="2216"/>
      <c r="AG2" s="2216"/>
      <c r="AH2" s="2216"/>
      <c r="AI2" s="2216"/>
      <c r="AJ2" s="2216"/>
      <c r="AK2" s="2216"/>
      <c r="AL2" s="2217"/>
      <c r="AM2" s="1138" t="s">
        <v>1462</v>
      </c>
      <c r="AO2" s="428"/>
      <c r="AP2" s="428" t="str">
        <f t="shared" ref="AP2:AP15" si="0">IF(T2="","",T2)</f>
        <v>Наименование тарифа</v>
      </c>
      <c r="AQ2" s="428"/>
      <c r="AR2" s="428"/>
    </row>
    <row r="3" spans="1:44" ht="21" hidden="1" customHeight="1">
      <c r="A3" s="1242"/>
      <c r="B3" s="1242"/>
      <c r="C3" s="1242"/>
      <c r="D3" s="1242"/>
      <c r="E3" s="2222"/>
      <c r="F3" s="2221">
        <v>1</v>
      </c>
      <c r="G3" s="1242"/>
      <c r="H3" s="1242"/>
      <c r="I3" s="1242"/>
      <c r="J3" s="1242"/>
      <c r="K3" s="1242"/>
      <c r="L3" s="1243"/>
      <c r="M3" s="1244"/>
      <c r="N3" s="1244"/>
      <c r="O3" s="1244"/>
      <c r="P3" s="1215"/>
      <c r="Q3" s="276"/>
      <c r="R3" s="277"/>
      <c r="S3" s="1219" t="e">
        <f>INDEX(PT_DIFFERENTIATION_NUM_TER,MATCH(B3,PT_DIFFERENTIATION_TER_ID,0))</f>
        <v>#N/A</v>
      </c>
      <c r="T3" s="228" t="s">
        <v>1463</v>
      </c>
      <c r="U3" s="218"/>
      <c r="V3" s="2215"/>
      <c r="W3" s="2216"/>
      <c r="X3" s="2216"/>
      <c r="Y3" s="2216"/>
      <c r="Z3" s="2216"/>
      <c r="AA3" s="2216"/>
      <c r="AB3" s="2216"/>
      <c r="AC3" s="2217"/>
      <c r="AD3" s="2215" t="e">
        <f>INDEX(PT_DIFFERENTIATION_TER,MATCH(B3,PT_DIFFERENTIATION_TER_ID,0))</f>
        <v>#N/A</v>
      </c>
      <c r="AE3" s="2216"/>
      <c r="AF3" s="2216"/>
      <c r="AG3" s="2216"/>
      <c r="AH3" s="2216"/>
      <c r="AI3" s="2216"/>
      <c r="AJ3" s="2216"/>
      <c r="AK3" s="2216"/>
      <c r="AL3" s="2217"/>
      <c r="AM3" s="1138" t="s">
        <v>1464</v>
      </c>
      <c r="AO3" s="428"/>
      <c r="AP3" s="428" t="str">
        <f t="shared" si="0"/>
        <v>Территория действия тарифа</v>
      </c>
      <c r="AQ3" s="428"/>
      <c r="AR3" s="428"/>
    </row>
    <row r="4" spans="1:44" ht="23.25" hidden="1" customHeight="1">
      <c r="A4" s="1242"/>
      <c r="B4" s="1242"/>
      <c r="C4" s="1242"/>
      <c r="D4" s="1242"/>
      <c r="E4" s="2222"/>
      <c r="F4" s="2222"/>
      <c r="G4" s="2221">
        <v>1</v>
      </c>
      <c r="H4" s="1242"/>
      <c r="I4" s="1242"/>
      <c r="J4" s="1242"/>
      <c r="K4" s="1242"/>
      <c r="L4" s="1243"/>
      <c r="M4" s="1244"/>
      <c r="N4" s="1244"/>
      <c r="O4" s="1244"/>
      <c r="P4" s="278"/>
      <c r="Q4" s="276"/>
      <c r="R4" s="277"/>
      <c r="S4" s="1219" t="e">
        <f>INDEX(PT_DIFFERENTIATION_NUM_CS,MATCH(C4,PT_DIFFERENTIATION_CS_ID,0))</f>
        <v>#N/A</v>
      </c>
      <c r="T4" s="229" t="s">
        <v>1465</v>
      </c>
      <c r="U4" s="218"/>
      <c r="V4" s="2215"/>
      <c r="W4" s="2216"/>
      <c r="X4" s="2216"/>
      <c r="Y4" s="2216"/>
      <c r="Z4" s="2216"/>
      <c r="AA4" s="2216"/>
      <c r="AB4" s="2216"/>
      <c r="AC4" s="2217"/>
      <c r="AD4" s="2215" t="e">
        <f>INDEX(PT_DIFFERENTIATION_CS,MATCH(C4,PT_DIFFERENTIATION_CS_ID,0))</f>
        <v>#N/A</v>
      </c>
      <c r="AE4" s="2216"/>
      <c r="AF4" s="2216"/>
      <c r="AG4" s="2216"/>
      <c r="AH4" s="2216"/>
      <c r="AI4" s="2216"/>
      <c r="AJ4" s="2216"/>
      <c r="AK4" s="2216"/>
      <c r="AL4" s="2217"/>
      <c r="AM4" s="1138" t="s">
        <v>1466</v>
      </c>
      <c r="AO4" s="428"/>
      <c r="AP4" s="428" t="str">
        <f t="shared" si="0"/>
        <v xml:space="preserve">Наименование системы теплоснабжения </v>
      </c>
      <c r="AQ4" s="428"/>
      <c r="AR4" s="428"/>
    </row>
    <row r="5" spans="1:44" ht="21" hidden="1" customHeight="1">
      <c r="A5" s="1242"/>
      <c r="B5" s="1242"/>
      <c r="C5" s="1242"/>
      <c r="D5" s="1242"/>
      <c r="E5" s="2222"/>
      <c r="F5" s="2222"/>
      <c r="G5" s="2222"/>
      <c r="H5" s="2221">
        <v>1</v>
      </c>
      <c r="I5" s="1242"/>
      <c r="J5" s="1242"/>
      <c r="K5" s="1242"/>
      <c r="L5" s="1243"/>
      <c r="M5" s="1244"/>
      <c r="N5" s="1244"/>
      <c r="O5" s="1244"/>
      <c r="P5" s="278"/>
      <c r="Q5" s="276"/>
      <c r="R5" s="277"/>
      <c r="S5" s="1219" t="e">
        <f>INDEX(PT_DIFFERENTIATION_NUM_IST_TE,MATCH(D5,PT_DIFFERENTIATION_IST_TE_ID,0))</f>
        <v>#N/A</v>
      </c>
      <c r="T5" s="230" t="s">
        <v>1467</v>
      </c>
      <c r="U5" s="218"/>
      <c r="V5" s="2215"/>
      <c r="W5" s="2216"/>
      <c r="X5" s="2216"/>
      <c r="Y5" s="2216"/>
      <c r="Z5" s="2216"/>
      <c r="AA5" s="2216"/>
      <c r="AB5" s="2216"/>
      <c r="AC5" s="2217"/>
      <c r="AD5" s="2215" t="e">
        <f>INDEX(PT_DIFFERENTIATION_IST_TE,MATCH(D5,PT_DIFFERENTIATION_IST_TE_ID,0))</f>
        <v>#N/A</v>
      </c>
      <c r="AE5" s="2216"/>
      <c r="AF5" s="2216"/>
      <c r="AG5" s="2216"/>
      <c r="AH5" s="2216"/>
      <c r="AI5" s="2216"/>
      <c r="AJ5" s="2216"/>
      <c r="AK5" s="2216"/>
      <c r="AL5" s="2217"/>
      <c r="AM5" s="1138" t="s">
        <v>1468</v>
      </c>
      <c r="AO5" s="428"/>
      <c r="AP5" s="428" t="str">
        <f t="shared" si="0"/>
        <v xml:space="preserve">Источник тепловой энергии  </v>
      </c>
      <c r="AQ5" s="428"/>
      <c r="AR5" s="428"/>
    </row>
    <row r="6" spans="1:44" ht="14.25" hidden="1" customHeight="1">
      <c r="A6" s="1242"/>
      <c r="B6" s="1242"/>
      <c r="C6" s="1242"/>
      <c r="D6" s="1242"/>
      <c r="E6" s="2222"/>
      <c r="F6" s="2222"/>
      <c r="G6" s="2222"/>
      <c r="H6" s="2222"/>
      <c r="I6" s="2223" t="e">
        <f>S5&amp;".1"</f>
        <v>#N/A</v>
      </c>
      <c r="J6" s="1242"/>
      <c r="K6" s="1242"/>
      <c r="L6" s="1243" t="s">
        <v>1469</v>
      </c>
      <c r="M6" s="464"/>
      <c r="P6" s="2143">
        <v>1</v>
      </c>
      <c r="Q6" s="1214"/>
      <c r="R6" s="280"/>
      <c r="S6" s="932"/>
      <c r="T6" s="1261"/>
      <c r="U6" s="1262"/>
      <c r="V6" s="2249"/>
      <c r="W6" s="2250"/>
      <c r="X6" s="2250"/>
      <c r="Y6" s="2250"/>
      <c r="Z6" s="2250"/>
      <c r="AA6" s="2250"/>
      <c r="AB6" s="2250"/>
      <c r="AC6" s="2251"/>
      <c r="AD6" s="2249"/>
      <c r="AE6" s="2250"/>
      <c r="AF6" s="2250"/>
      <c r="AG6" s="2250"/>
      <c r="AH6" s="2250"/>
      <c r="AI6" s="2250"/>
      <c r="AJ6" s="2250"/>
      <c r="AK6" s="2250"/>
      <c r="AL6" s="2251"/>
      <c r="AM6" s="1263"/>
      <c r="AO6" s="428"/>
      <c r="AP6" s="428" t="str">
        <f t="shared" si="0"/>
        <v/>
      </c>
      <c r="AQ6" s="428"/>
      <c r="AR6" s="428"/>
    </row>
    <row r="7" spans="1:44" ht="21" hidden="1" customHeight="1">
      <c r="A7" s="1242"/>
      <c r="B7" s="1242"/>
      <c r="C7" s="1242"/>
      <c r="D7" s="1242"/>
      <c r="E7" s="2222"/>
      <c r="F7" s="2222"/>
      <c r="G7" s="2222"/>
      <c r="H7" s="2222"/>
      <c r="I7" s="2224"/>
      <c r="J7" s="2223" t="e">
        <f>I6&amp;".1"</f>
        <v>#N/A</v>
      </c>
      <c r="K7" s="1242"/>
      <c r="L7" s="1243" t="s">
        <v>1472</v>
      </c>
      <c r="M7" s="464"/>
      <c r="N7" s="1245"/>
      <c r="P7" s="2143"/>
      <c r="Q7" s="2143">
        <v>1</v>
      </c>
      <c r="R7" s="281"/>
      <c r="S7" s="1219" t="e">
        <f>$J7</f>
        <v>#N/A</v>
      </c>
      <c r="T7" s="204" t="s">
        <v>1473</v>
      </c>
      <c r="U7" s="218"/>
      <c r="V7" s="2210"/>
      <c r="W7" s="2211"/>
      <c r="X7" s="2211"/>
      <c r="Y7" s="2211"/>
      <c r="Z7" s="2211"/>
      <c r="AA7" s="2211"/>
      <c r="AB7" s="2211"/>
      <c r="AC7" s="2212"/>
      <c r="AD7" s="2210"/>
      <c r="AE7" s="2211"/>
      <c r="AF7" s="2211"/>
      <c r="AG7" s="2211"/>
      <c r="AH7" s="2211"/>
      <c r="AI7" s="2211"/>
      <c r="AJ7" s="2211"/>
      <c r="AK7" s="2211"/>
      <c r="AL7" s="2212"/>
      <c r="AM7" s="1138" t="s">
        <v>1474</v>
      </c>
      <c r="AO7" s="428"/>
      <c r="AP7" s="428" t="str">
        <f t="shared" si="0"/>
        <v>Группа потребителей</v>
      </c>
      <c r="AQ7" s="428"/>
      <c r="AR7" s="428"/>
    </row>
    <row r="8" spans="1:44" ht="21" hidden="1" customHeight="1">
      <c r="A8" s="1242"/>
      <c r="B8" s="1242"/>
      <c r="C8" s="1242"/>
      <c r="D8" s="1242"/>
      <c r="E8" s="2222"/>
      <c r="F8" s="2222"/>
      <c r="G8" s="2222"/>
      <c r="H8" s="2222"/>
      <c r="I8" s="2224"/>
      <c r="J8" s="2224"/>
      <c r="K8" s="2223" t="e">
        <f>J7&amp;".1"</f>
        <v>#N/A</v>
      </c>
      <c r="L8" s="1243" t="s">
        <v>1475</v>
      </c>
      <c r="M8" s="464"/>
      <c r="N8" s="1245"/>
      <c r="O8" s="1245"/>
      <c r="P8" s="2143"/>
      <c r="Q8" s="2143"/>
      <c r="R8" s="281">
        <v>1</v>
      </c>
      <c r="S8" s="1219" t="e">
        <f>$K8</f>
        <v>#N/A</v>
      </c>
      <c r="T8" s="1230"/>
      <c r="U8" s="218"/>
      <c r="V8" s="1664"/>
      <c r="W8" s="1665"/>
      <c r="X8" s="1664"/>
      <c r="Y8" s="1666"/>
      <c r="Z8" s="2225"/>
      <c r="AA8" s="2017" t="s">
        <v>62</v>
      </c>
      <c r="AB8" s="2225"/>
      <c r="AC8" s="2017" t="s">
        <v>62</v>
      </c>
      <c r="AD8" s="1664"/>
      <c r="AE8" s="1665"/>
      <c r="AF8" s="1664"/>
      <c r="AG8" s="1666"/>
      <c r="AH8" s="2225"/>
      <c r="AI8" s="2017" t="s">
        <v>62</v>
      </c>
      <c r="AJ8" s="2225"/>
      <c r="AK8" s="2017" t="s">
        <v>62</v>
      </c>
      <c r="AL8" s="1665"/>
      <c r="AM8" s="2243" t="s">
        <v>1476</v>
      </c>
      <c r="AN8" s="439" t="e">
        <f ca="1">STRCHECKDATE(V9:AL9)</f>
        <v>#NAME?</v>
      </c>
      <c r="AO8" s="428"/>
      <c r="AP8" s="428" t="str">
        <f t="shared" si="0"/>
        <v/>
      </c>
      <c r="AQ8" s="428"/>
      <c r="AR8" s="428"/>
    </row>
    <row r="9" spans="1:44" ht="0.75" hidden="1" customHeight="1">
      <c r="A9" s="1242"/>
      <c r="B9" s="1242"/>
      <c r="C9" s="1242"/>
      <c r="D9" s="1242"/>
      <c r="E9" s="2222"/>
      <c r="F9" s="2222"/>
      <c r="G9" s="2222"/>
      <c r="H9" s="2222"/>
      <c r="I9" s="2224"/>
      <c r="J9" s="2224"/>
      <c r="K9" s="2223"/>
      <c r="L9" s="1243"/>
      <c r="M9" s="464"/>
      <c r="N9" s="1245"/>
      <c r="O9" s="1245"/>
      <c r="P9" s="2143"/>
      <c r="Q9" s="2143"/>
      <c r="R9" s="281"/>
      <c r="S9" s="1225"/>
      <c r="T9" s="218"/>
      <c r="U9" s="218"/>
      <c r="V9" s="1665"/>
      <c r="W9" s="1665"/>
      <c r="X9" s="1665"/>
      <c r="Y9" s="1667" t="str">
        <f>Z8&amp;"-"&amp;AB8</f>
        <v>-</v>
      </c>
      <c r="Z9" s="2226"/>
      <c r="AA9" s="2017"/>
      <c r="AB9" s="2226"/>
      <c r="AC9" s="2017"/>
      <c r="AD9" s="1665"/>
      <c r="AE9" s="1665"/>
      <c r="AF9" s="1665"/>
      <c r="AG9" s="1667" t="str">
        <f>AH8&amp;"-"&amp;AJ8</f>
        <v>-</v>
      </c>
      <c r="AH9" s="2226"/>
      <c r="AI9" s="2017"/>
      <c r="AJ9" s="2226"/>
      <c r="AK9" s="2017"/>
      <c r="AL9" s="1665"/>
      <c r="AM9" s="2244"/>
      <c r="AO9" s="428"/>
      <c r="AP9" s="428" t="str">
        <f t="shared" si="0"/>
        <v/>
      </c>
      <c r="AQ9" s="428"/>
      <c r="AR9" s="428"/>
    </row>
    <row r="10" spans="1:44" ht="15" hidden="1" customHeight="1">
      <c r="A10" s="1242"/>
      <c r="B10" s="1242"/>
      <c r="C10" s="1242"/>
      <c r="D10" s="1242"/>
      <c r="E10" s="2222"/>
      <c r="F10" s="2222"/>
      <c r="G10" s="2222"/>
      <c r="H10" s="2222"/>
      <c r="I10" s="2224"/>
      <c r="J10" s="2223"/>
      <c r="K10" s="1242"/>
      <c r="L10" s="1243"/>
      <c r="M10" s="464"/>
      <c r="N10" s="1245"/>
      <c r="P10" s="2143"/>
      <c r="Q10" s="2143"/>
      <c r="R10" s="280"/>
      <c r="S10" s="1159"/>
      <c r="T10" s="205" t="s">
        <v>1477</v>
      </c>
      <c r="U10" s="294"/>
      <c r="V10" s="294"/>
      <c r="W10" s="294"/>
      <c r="X10" s="294"/>
      <c r="Y10" s="294"/>
      <c r="Z10" s="294"/>
      <c r="AA10" s="294"/>
      <c r="AB10" s="294"/>
      <c r="AC10" s="294"/>
      <c r="AD10" s="294"/>
      <c r="AE10" s="294"/>
      <c r="AF10" s="294"/>
      <c r="AG10" s="294"/>
      <c r="AH10" s="294"/>
      <c r="AI10" s="294"/>
      <c r="AJ10" s="294"/>
      <c r="AK10" s="294"/>
      <c r="AL10" s="251"/>
      <c r="AM10" s="2245"/>
      <c r="AO10" s="428"/>
      <c r="AP10" s="428" t="str">
        <f t="shared" si="0"/>
        <v>Добавить вид теплоносителя (параметры теплоносителя)</v>
      </c>
      <c r="AQ10" s="428"/>
      <c r="AR10" s="428"/>
    </row>
    <row r="11" spans="1:44" ht="15" hidden="1" customHeight="1">
      <c r="A11" s="1242"/>
      <c r="B11" s="1242"/>
      <c r="C11" s="1242"/>
      <c r="D11" s="1242"/>
      <c r="E11" s="2222"/>
      <c r="F11" s="2222"/>
      <c r="G11" s="2222"/>
      <c r="H11" s="2222"/>
      <c r="I11" s="2223"/>
      <c r="J11" s="1242"/>
      <c r="K11" s="1242"/>
      <c r="L11" s="1243"/>
      <c r="M11" s="464"/>
      <c r="P11" s="2143"/>
      <c r="Q11" s="1214"/>
      <c r="R11" s="280"/>
      <c r="S11" s="1159"/>
      <c r="T11" s="291" t="s">
        <v>1478</v>
      </c>
      <c r="U11" s="294"/>
      <c r="V11" s="294"/>
      <c r="W11" s="294"/>
      <c r="X11" s="294"/>
      <c r="Y11" s="294"/>
      <c r="Z11" s="294"/>
      <c r="AA11" s="294"/>
      <c r="AB11" s="294"/>
      <c r="AC11" s="293"/>
      <c r="AD11" s="294"/>
      <c r="AE11" s="294"/>
      <c r="AF11" s="294"/>
      <c r="AG11" s="294"/>
      <c r="AH11" s="294"/>
      <c r="AI11" s="294"/>
      <c r="AJ11" s="294"/>
      <c r="AK11" s="293"/>
      <c r="AL11" s="294"/>
      <c r="AM11" s="221"/>
      <c r="AO11" s="428"/>
      <c r="AP11" s="428" t="str">
        <f t="shared" si="0"/>
        <v>Добавить группу потребителей</v>
      </c>
      <c r="AQ11" s="428"/>
      <c r="AR11" s="428"/>
    </row>
    <row r="12" spans="1:44" ht="14.25" hidden="1" customHeight="1">
      <c r="A12" s="1242"/>
      <c r="B12" s="1242"/>
      <c r="C12" s="1242"/>
      <c r="D12" s="1242"/>
      <c r="E12" s="2222"/>
      <c r="F12" s="2222"/>
      <c r="G12" s="2222"/>
      <c r="H12" s="2221"/>
      <c r="I12" s="1242"/>
      <c r="J12" s="1242"/>
      <c r="K12" s="1242"/>
      <c r="L12" s="1243"/>
      <c r="M12" s="1244"/>
      <c r="N12" s="1244"/>
      <c r="O12" s="464"/>
      <c r="P12" s="284"/>
      <c r="Q12" s="303"/>
      <c r="R12" s="279"/>
      <c r="S12" s="1264"/>
      <c r="T12" s="1265"/>
      <c r="U12" s="1266"/>
      <c r="V12" s="1266"/>
      <c r="W12" s="1266"/>
      <c r="X12" s="1266"/>
      <c r="Y12" s="1266"/>
      <c r="Z12" s="1266"/>
      <c r="AA12" s="1266"/>
      <c r="AB12" s="1266"/>
      <c r="AC12" s="1266"/>
      <c r="AD12" s="1266"/>
      <c r="AE12" s="1266"/>
      <c r="AF12" s="1266"/>
      <c r="AG12" s="1266"/>
      <c r="AH12" s="1266"/>
      <c r="AI12" s="1266"/>
      <c r="AJ12" s="1266"/>
      <c r="AK12" s="1266"/>
      <c r="AL12" s="1266"/>
      <c r="AM12" s="1267"/>
      <c r="AO12" s="428"/>
      <c r="AP12" s="428" t="str">
        <f t="shared" si="0"/>
        <v/>
      </c>
      <c r="AQ12" s="428"/>
      <c r="AR12" s="428"/>
    </row>
    <row r="13" spans="1:44" s="1755" customFormat="1" ht="0.75" hidden="1" customHeight="1">
      <c r="A13" s="1198"/>
      <c r="B13" s="1198"/>
      <c r="C13" s="1198"/>
      <c r="D13" s="1198"/>
      <c r="E13" s="2222"/>
      <c r="F13" s="2222"/>
      <c r="G13" s="2221"/>
      <c r="H13" s="1198"/>
      <c r="I13" s="1198"/>
      <c r="J13" s="1198"/>
      <c r="K13" s="1198"/>
      <c r="L13" s="1222"/>
      <c r="M13" s="1199"/>
      <c r="N13" s="1199"/>
      <c r="P13" s="1200"/>
      <c r="Q13" s="1201"/>
      <c r="R13" s="1200"/>
      <c r="S13" s="1202"/>
      <c r="T13" s="1203" t="s">
        <v>1438</v>
      </c>
      <c r="U13" s="1204"/>
      <c r="V13" s="1204"/>
      <c r="W13" s="1204"/>
      <c r="X13" s="1204"/>
      <c r="Y13" s="1204"/>
      <c r="Z13" s="1204"/>
      <c r="AA13" s="1204"/>
      <c r="AB13" s="1204"/>
      <c r="AC13" s="1204"/>
      <c r="AD13" s="1204"/>
      <c r="AE13" s="1204"/>
      <c r="AF13" s="1204"/>
      <c r="AG13" s="1204"/>
      <c r="AH13" s="1204"/>
      <c r="AI13" s="1204"/>
      <c r="AJ13" s="1204"/>
      <c r="AK13" s="1204"/>
      <c r="AL13" s="1204"/>
      <c r="AM13" s="1204"/>
      <c r="AO13" s="695"/>
      <c r="AP13" s="695" t="str">
        <f t="shared" si="0"/>
        <v>Добавить источник для дифференциации</v>
      </c>
      <c r="AQ13" s="695"/>
      <c r="AR13" s="695"/>
    </row>
    <row r="14" spans="1:44" s="1755" customFormat="1" ht="0.75" hidden="1" customHeight="1">
      <c r="A14" s="1198"/>
      <c r="B14" s="1198"/>
      <c r="C14" s="1198"/>
      <c r="D14" s="1198"/>
      <c r="E14" s="2222"/>
      <c r="F14" s="2221"/>
      <c r="G14" s="1198"/>
      <c r="H14" s="1198"/>
      <c r="I14" s="1198"/>
      <c r="J14" s="1198"/>
      <c r="K14" s="1198"/>
      <c r="L14" s="1222"/>
      <c r="M14" s="1205"/>
      <c r="N14" s="1205"/>
      <c r="P14" s="1200"/>
      <c r="Q14" s="1201"/>
      <c r="R14" s="1200"/>
      <c r="S14" s="1206"/>
      <c r="T14" s="1207" t="s">
        <v>1439</v>
      </c>
      <c r="U14" s="1208"/>
      <c r="V14" s="1208"/>
      <c r="W14" s="1208"/>
      <c r="X14" s="1208"/>
      <c r="Y14" s="1208"/>
      <c r="Z14" s="1208"/>
      <c r="AA14" s="1208"/>
      <c r="AB14" s="1208"/>
      <c r="AC14" s="1208"/>
      <c r="AD14" s="1208"/>
      <c r="AE14" s="1208"/>
      <c r="AF14" s="1208"/>
      <c r="AG14" s="1208"/>
      <c r="AH14" s="1208"/>
      <c r="AI14" s="1208"/>
      <c r="AJ14" s="1208"/>
      <c r="AK14" s="1208"/>
      <c r="AL14" s="1208"/>
      <c r="AM14" s="1208"/>
      <c r="AO14" s="695"/>
      <c r="AP14" s="695" t="str">
        <f t="shared" si="0"/>
        <v>Добавить централизованную систему для дифференциации</v>
      </c>
      <c r="AQ14" s="695"/>
      <c r="AR14" s="695"/>
    </row>
    <row r="15" spans="1:44" s="1755" customFormat="1" ht="0.75" hidden="1" customHeight="1">
      <c r="A15" s="1198"/>
      <c r="B15" s="1198"/>
      <c r="C15" s="1198"/>
      <c r="D15" s="1198"/>
      <c r="E15" s="2221"/>
      <c r="F15" s="1198"/>
      <c r="G15" s="1198"/>
      <c r="H15" s="1198"/>
      <c r="I15" s="1198"/>
      <c r="J15" s="1198"/>
      <c r="K15" s="1198"/>
      <c r="L15" s="1222"/>
      <c r="M15" s="1205"/>
      <c r="N15" s="1205"/>
      <c r="P15" s="1200"/>
      <c r="Q15" s="1201"/>
      <c r="R15" s="1200"/>
      <c r="S15" s="1206"/>
      <c r="T15" s="1209" t="s">
        <v>1440</v>
      </c>
      <c r="U15" s="1208"/>
      <c r="V15" s="1208"/>
      <c r="W15" s="1208"/>
      <c r="X15" s="1208"/>
      <c r="Y15" s="1208"/>
      <c r="Z15" s="1208"/>
      <c r="AA15" s="1208"/>
      <c r="AB15" s="1208"/>
      <c r="AC15" s="1208"/>
      <c r="AD15" s="1208"/>
      <c r="AE15" s="1208"/>
      <c r="AF15" s="1208"/>
      <c r="AG15" s="1208"/>
      <c r="AH15" s="1208"/>
      <c r="AI15" s="1208"/>
      <c r="AJ15" s="1208"/>
      <c r="AK15" s="1208"/>
      <c r="AL15" s="1208"/>
      <c r="AM15" s="1208"/>
      <c r="AO15" s="695"/>
      <c r="AP15" s="695" t="str">
        <f t="shared" si="0"/>
        <v>Добавить территорию для дифференциации</v>
      </c>
      <c r="AQ15" s="695"/>
      <c r="AR15" s="695"/>
    </row>
    <row r="16" spans="1:44" ht="14.25" hidden="1" customHeight="1">
      <c r="AC16" s="254"/>
      <c r="AK16" s="254"/>
    </row>
    <row r="17" spans="1:44" ht="14.25" hidden="1" customHeight="1">
      <c r="AD17" s="1668"/>
      <c r="AE17" s="1668"/>
      <c r="AF17" s="1668"/>
      <c r="AG17" s="1669"/>
      <c r="AH17" s="2219"/>
      <c r="AI17" s="2218" t="s">
        <v>62</v>
      </c>
      <c r="AJ17" s="2219"/>
      <c r="AK17" s="2218" t="s">
        <v>62</v>
      </c>
    </row>
    <row r="18" spans="1:44" ht="14.25" hidden="1" customHeight="1">
      <c r="AD18" s="1668"/>
      <c r="AE18" s="1668"/>
      <c r="AF18" s="1668"/>
      <c r="AG18" s="1667" t="str">
        <f>AH17&amp;"-"&amp;AJ17</f>
        <v>-</v>
      </c>
      <c r="AH18" s="2218"/>
      <c r="AI18" s="2218"/>
      <c r="AJ18" s="2218"/>
      <c r="AK18" s="2218"/>
    </row>
    <row r="19" spans="1:44" ht="14.25" hidden="1" customHeight="1">
      <c r="AK19" s="254"/>
    </row>
    <row r="20" spans="1:44" s="1742" customFormat="1" ht="22.5" hidden="1" customHeight="1">
      <c r="L20" s="1212"/>
      <c r="M20" s="1241"/>
      <c r="N20" s="1241"/>
      <c r="O20" s="1246" t="s">
        <v>1480</v>
      </c>
      <c r="P20" s="1241"/>
      <c r="Q20" s="1250"/>
      <c r="R20" s="1250"/>
      <c r="S20" s="643"/>
      <c r="Z20" s="1246"/>
      <c r="AB20" s="1246"/>
      <c r="AC20" s="1245"/>
      <c r="AH20" s="1246"/>
      <c r="AJ20" s="1246"/>
      <c r="AK20" s="1245"/>
      <c r="AN20" s="439"/>
      <c r="AO20" s="439"/>
      <c r="AP20" s="439"/>
      <c r="AQ20" s="439"/>
      <c r="AR20" s="439"/>
    </row>
    <row r="21" spans="1:44" s="1742" customFormat="1" ht="14.25" hidden="1" customHeight="1">
      <c r="L21" s="1212"/>
      <c r="M21" s="1241"/>
      <c r="N21" s="1241"/>
      <c r="O21" s="1241"/>
      <c r="P21" s="1241"/>
      <c r="Q21" s="1250"/>
      <c r="R21" s="1250"/>
      <c r="S21" s="643"/>
      <c r="AC21" s="1245"/>
      <c r="AK21" s="1245"/>
      <c r="AN21" s="439"/>
      <c r="AO21" s="439"/>
      <c r="AP21" s="439"/>
      <c r="AQ21" s="439"/>
      <c r="AR21" s="439"/>
    </row>
    <row r="22" spans="1:44" s="1742" customFormat="1" ht="14.25" hidden="1" customHeight="1">
      <c r="L22" s="1212"/>
      <c r="M22" s="1241"/>
      <c r="N22" s="1241"/>
      <c r="O22" s="1243" t="s">
        <v>1481</v>
      </c>
      <c r="P22" s="1241"/>
      <c r="Q22" s="1250"/>
      <c r="R22" s="1250"/>
      <c r="S22" s="643"/>
      <c r="T22" s="1034" t="s">
        <v>1482</v>
      </c>
      <c r="AA22" s="111" t="s">
        <v>1483</v>
      </c>
      <c r="AC22" s="111" t="s">
        <v>1484</v>
      </c>
      <c r="AD22" s="1034" t="s">
        <v>1482</v>
      </c>
      <c r="AI22" s="111" t="s">
        <v>1485</v>
      </c>
      <c r="AK22" s="111" t="s">
        <v>1484</v>
      </c>
      <c r="AN22" s="439"/>
      <c r="AO22" s="439"/>
      <c r="AP22" s="439"/>
      <c r="AQ22" s="439"/>
      <c r="AR22" s="439"/>
    </row>
    <row r="23" spans="1:44" ht="14.25" hidden="1" customHeight="1">
      <c r="O23" s="1243"/>
    </row>
    <row r="24" spans="1:44" ht="14.25" hidden="1" customHeight="1">
      <c r="O24" s="1243"/>
    </row>
    <row r="25" spans="1:44" ht="14.25" customHeight="1">
      <c r="Q25" s="304"/>
      <c r="R25" s="304"/>
      <c r="S25" s="1156"/>
      <c r="T25" s="289"/>
      <c r="U25" s="289"/>
      <c r="V25" s="437"/>
      <c r="W25" s="437"/>
      <c r="X25" s="437"/>
      <c r="Y25" s="437"/>
      <c r="Z25" s="437"/>
      <c r="AA25" s="437"/>
      <c r="AB25" s="437"/>
      <c r="AC25" s="437"/>
      <c r="AD25" s="437"/>
      <c r="AE25" s="437"/>
      <c r="AF25" s="437"/>
      <c r="AG25" s="437"/>
      <c r="AH25" s="437"/>
      <c r="AI25" s="437"/>
      <c r="AJ25" s="437"/>
      <c r="AK25" s="437"/>
    </row>
    <row r="26" spans="1:44" ht="64.5" customHeight="1">
      <c r="Q26" s="304"/>
      <c r="R26" s="304"/>
      <c r="S26" s="2065" t="str">
        <f>IF(TEMPLATE_GROUP="P",PT_P_FORM_HEAT_5_NAME_FORM,PT_R_FORM_HEAT_22_NAME_FORM)</f>
        <v>Форма 22. Информация о расчетной величине тарифов на теплоноситель, поставляемый теплоснабжающими организациями потребителям, другим теплоснабжающим организациям, тарифов на услуги по передаче тепловой энергии, теплоносителя, о расчетной величине тарифов на теплоноситель в виде воды, поставляемый другим теплоснабжающим организациям в ценовых зонах теплоснабжения с использованием открытых систем теплоснабжения (горячего водоснабжения), за исключением случая, предусмотренного пунктом 6 части 1 статьи 23.4 Федерального закона "О теплоснабжении" &lt;1&gt;</v>
      </c>
      <c r="T26" s="2065"/>
      <c r="U26" s="2065"/>
      <c r="V26" s="2065"/>
      <c r="W26" s="2065"/>
      <c r="X26" s="2065"/>
      <c r="Y26" s="2065"/>
      <c r="Z26" s="2065"/>
      <c r="AA26" s="2065"/>
      <c r="AB26" s="2065"/>
      <c r="AC26" s="2065"/>
      <c r="AD26" s="2065"/>
      <c r="AE26" s="2065"/>
      <c r="AF26" s="2065"/>
      <c r="AG26" s="2065"/>
      <c r="AH26" s="2065"/>
      <c r="AI26" s="2065"/>
      <c r="AJ26" s="2065"/>
      <c r="AK26" s="1114"/>
    </row>
    <row r="27" spans="1:44" ht="14.25" customHeight="1">
      <c r="Q27" s="304"/>
      <c r="R27" s="304"/>
      <c r="S27" s="2088" t="str">
        <f>IF(org=0,"Не определено",org)</f>
        <v>МУП г. Астрахани "Коммунэнерго"</v>
      </c>
      <c r="T27" s="2088"/>
      <c r="U27" s="2088"/>
      <c r="V27" s="2088"/>
      <c r="W27" s="2088"/>
      <c r="X27" s="2088"/>
      <c r="Y27" s="2088"/>
      <c r="Z27" s="2088"/>
      <c r="AA27" s="2088"/>
      <c r="AB27" s="2088"/>
      <c r="AC27" s="2088"/>
      <c r="AD27" s="2088"/>
      <c r="AE27" s="2088"/>
      <c r="AF27" s="2088"/>
      <c r="AG27" s="2088"/>
      <c r="AH27" s="2088"/>
      <c r="AI27" s="2088"/>
      <c r="AJ27" s="2088"/>
      <c r="AK27" s="1114"/>
    </row>
    <row r="28" spans="1:44" ht="14.25" hidden="1" customHeight="1">
      <c r="Q28" s="304"/>
      <c r="R28" s="304"/>
      <c r="S28" s="1156"/>
      <c r="T28" s="289"/>
      <c r="U28" s="289"/>
      <c r="V28" s="248"/>
      <c r="W28" s="248"/>
      <c r="X28" s="248"/>
      <c r="Y28" s="248"/>
      <c r="Z28" s="248"/>
      <c r="AA28" s="248"/>
      <c r="AB28" s="248"/>
      <c r="AC28" s="248"/>
      <c r="AD28" s="248"/>
      <c r="AE28" s="248"/>
      <c r="AF28" s="248"/>
      <c r="AG28" s="248"/>
      <c r="AH28" s="248"/>
      <c r="AI28" s="248"/>
      <c r="AJ28" s="248"/>
      <c r="AK28" s="248"/>
      <c r="AL28" s="437"/>
    </row>
    <row r="29" spans="1:44" s="1933" customFormat="1" ht="25.5" hidden="1" customHeight="1">
      <c r="A29" s="1247"/>
      <c r="B29" s="1247"/>
      <c r="C29" s="1247"/>
      <c r="D29" s="1247"/>
      <c r="E29" s="1247"/>
      <c r="F29" s="1247"/>
      <c r="G29" s="1247"/>
      <c r="H29" s="1247"/>
      <c r="I29" s="1247"/>
      <c r="J29" s="1247"/>
      <c r="K29" s="1247"/>
      <c r="L29" s="1248"/>
      <c r="M29" s="1247"/>
      <c r="N29" s="1247"/>
      <c r="O29" s="1247"/>
      <c r="S29" s="2213" t="s">
        <v>38</v>
      </c>
      <c r="T29" s="2213"/>
      <c r="U29" s="1251"/>
      <c r="V29" s="2214" t="str">
        <f>IF(TITLE_NAME_OR_PR_CHANGE="",IF(TITLE_NAME_OR_PR="","",TITLE_NAME_OR_PR),TITLE_NAME_OR_PR_CHANGE)</f>
        <v/>
      </c>
      <c r="W29" s="2214"/>
      <c r="X29" s="2214"/>
      <c r="Y29" s="2214"/>
      <c r="Z29" s="2214"/>
      <c r="AA29" s="2214"/>
      <c r="AB29" s="2214"/>
      <c r="AC29" s="253"/>
      <c r="AD29" s="2214" t="str">
        <f>IF(TITLE_NAME_OR_PR_CHANGE="",IF(TITLE_NAME_OR_PR="","",TITLE_NAME_OR_PR),TITLE_NAME_OR_PR_CHANGE)</f>
        <v/>
      </c>
      <c r="AE29" s="2214"/>
      <c r="AF29" s="2214"/>
      <c r="AG29" s="2214"/>
      <c r="AH29" s="2214"/>
      <c r="AI29" s="2214"/>
      <c r="AJ29" s="2214"/>
      <c r="AK29" s="253"/>
      <c r="AL29" s="253"/>
      <c r="AM29" s="199"/>
      <c r="AN29" s="295"/>
      <c r="AO29" s="295"/>
      <c r="AP29" s="295"/>
      <c r="AQ29" s="295"/>
      <c r="AR29" s="295"/>
    </row>
    <row r="30" spans="1:44" s="1933" customFormat="1" ht="18.75" hidden="1" customHeight="1">
      <c r="A30" s="1247"/>
      <c r="B30" s="1247"/>
      <c r="C30" s="1247"/>
      <c r="D30" s="1247"/>
      <c r="E30" s="1247"/>
      <c r="F30" s="1247"/>
      <c r="G30" s="1247"/>
      <c r="H30" s="1247"/>
      <c r="I30" s="1247"/>
      <c r="J30" s="1247"/>
      <c r="K30" s="1247"/>
      <c r="L30" s="1248"/>
      <c r="M30" s="1247"/>
      <c r="N30" s="1247"/>
      <c r="O30" s="1247"/>
      <c r="S30" s="2213" t="s">
        <v>1486</v>
      </c>
      <c r="T30" s="2213"/>
      <c r="U30" s="1251"/>
      <c r="V30" s="2214" t="str">
        <f>IF(TITLE_DATE_CHANGE_PERIOD="",IF(TITLE_DATE_PR="","",TITLE_DATE_PR),TITLE_DATE_CHANGE_PERIOD)</f>
        <v/>
      </c>
      <c r="W30" s="2214"/>
      <c r="X30" s="2214"/>
      <c r="Y30" s="2214"/>
      <c r="Z30" s="2214"/>
      <c r="AA30" s="2214"/>
      <c r="AB30" s="2214"/>
      <c r="AC30" s="253"/>
      <c r="AD30" s="2214" t="str">
        <f>IF(TITLE_DATE_CHANGE_PERIOD="",IF(TITLE_DATE_PR="","",TITLE_DATE_PR),TITLE_DATE_CHANGE_PERIOD)</f>
        <v/>
      </c>
      <c r="AE30" s="2214"/>
      <c r="AF30" s="2214"/>
      <c r="AG30" s="2214"/>
      <c r="AH30" s="2214"/>
      <c r="AI30" s="2214"/>
      <c r="AJ30" s="2214"/>
      <c r="AK30" s="253"/>
      <c r="AL30" s="253"/>
      <c r="AM30" s="199"/>
      <c r="AN30" s="295"/>
      <c r="AO30" s="295"/>
      <c r="AP30" s="295"/>
      <c r="AQ30" s="295"/>
      <c r="AR30" s="295"/>
    </row>
    <row r="31" spans="1:44" s="1933" customFormat="1" ht="18.75" hidden="1" customHeight="1">
      <c r="A31" s="1247"/>
      <c r="B31" s="1247"/>
      <c r="C31" s="1247"/>
      <c r="D31" s="1247"/>
      <c r="E31" s="1247"/>
      <c r="F31" s="1247"/>
      <c r="G31" s="1247"/>
      <c r="H31" s="1247"/>
      <c r="I31" s="1247"/>
      <c r="J31" s="1247"/>
      <c r="K31" s="1247"/>
      <c r="L31" s="1248"/>
      <c r="M31" s="1247"/>
      <c r="N31" s="1247"/>
      <c r="O31" s="1247"/>
      <c r="S31" s="2213" t="s">
        <v>1487</v>
      </c>
      <c r="T31" s="2213"/>
      <c r="U31" s="1251"/>
      <c r="V31" s="2214" t="str">
        <f>IF(TITLE_NUMBER_PR_CHANGE="",IF(TITLE_NUMBER_PR="","",TITLE_NUMBER_PR),TITLE_NUMBER_PR_CHANGE)</f>
        <v/>
      </c>
      <c r="W31" s="2214"/>
      <c r="X31" s="2214"/>
      <c r="Y31" s="2214"/>
      <c r="Z31" s="2214"/>
      <c r="AA31" s="2214"/>
      <c r="AB31" s="2214"/>
      <c r="AC31" s="253"/>
      <c r="AD31" s="2214" t="str">
        <f>IF(TITLE_NUMBER_PR_CHANGE="",IF(TITLE_NUMBER_PR="","",TITLE_NUMBER_PR),TITLE_NUMBER_PR_CHANGE)</f>
        <v/>
      </c>
      <c r="AE31" s="2214"/>
      <c r="AF31" s="2214"/>
      <c r="AG31" s="2214"/>
      <c r="AH31" s="2214"/>
      <c r="AI31" s="2214"/>
      <c r="AJ31" s="2214"/>
      <c r="AK31" s="253"/>
      <c r="AL31" s="253"/>
      <c r="AM31" s="199"/>
      <c r="AN31" s="295"/>
      <c r="AO31" s="295"/>
      <c r="AP31" s="295"/>
      <c r="AQ31" s="295"/>
      <c r="AR31" s="295"/>
    </row>
    <row r="32" spans="1:44" s="1933" customFormat="1" ht="18.75" hidden="1" customHeight="1">
      <c r="A32" s="1247"/>
      <c r="B32" s="1247"/>
      <c r="C32" s="1247"/>
      <c r="D32" s="1247"/>
      <c r="E32" s="1247"/>
      <c r="F32" s="1247"/>
      <c r="G32" s="1247"/>
      <c r="H32" s="1247"/>
      <c r="I32" s="1247"/>
      <c r="J32" s="1247"/>
      <c r="K32" s="1247"/>
      <c r="L32" s="1248"/>
      <c r="M32" s="1247"/>
      <c r="N32" s="1247"/>
      <c r="O32" s="1247"/>
      <c r="S32" s="2213" t="s">
        <v>39</v>
      </c>
      <c r="T32" s="2213"/>
      <c r="U32" s="1251"/>
      <c r="V32" s="2214" t="str">
        <f>IF(TITLE_IST_PUB_CHANGE="",IF(TITLE_IST_PUB="","",TITLE_IST_PUB),TITLE_IST_PUB_CHANGE)</f>
        <v/>
      </c>
      <c r="W32" s="2214"/>
      <c r="X32" s="2214"/>
      <c r="Y32" s="2214"/>
      <c r="Z32" s="2214"/>
      <c r="AA32" s="2214"/>
      <c r="AB32" s="2214"/>
      <c r="AC32" s="253"/>
      <c r="AD32" s="2214" t="str">
        <f>IF(TITLE_IST_PUB_CHANGE="",IF(TITLE_IST_PUB="","",TITLE_IST_PUB),TITLE_IST_PUB_CHANGE)</f>
        <v/>
      </c>
      <c r="AE32" s="2214"/>
      <c r="AF32" s="2214"/>
      <c r="AG32" s="2214"/>
      <c r="AH32" s="2214"/>
      <c r="AI32" s="2214"/>
      <c r="AJ32" s="2214"/>
      <c r="AK32" s="253"/>
      <c r="AL32" s="253"/>
      <c r="AM32" s="199"/>
      <c r="AN32" s="295"/>
      <c r="AO32" s="295"/>
      <c r="AP32" s="295"/>
      <c r="AQ32" s="295"/>
      <c r="AR32" s="295"/>
    </row>
    <row r="33" spans="1:44" ht="14.25" hidden="1" customHeight="1">
      <c r="Q33" s="304"/>
      <c r="R33" s="304"/>
      <c r="S33" s="1156"/>
      <c r="T33" s="289"/>
      <c r="U33" s="289"/>
      <c r="V33" s="248"/>
      <c r="W33" s="248"/>
      <c r="X33" s="248"/>
      <c r="Y33" s="248"/>
      <c r="Z33" s="248"/>
      <c r="AA33" s="248"/>
      <c r="AB33" s="248"/>
      <c r="AC33" s="248"/>
      <c r="AD33" s="248"/>
      <c r="AE33" s="248"/>
      <c r="AF33" s="248"/>
      <c r="AG33" s="248"/>
      <c r="AH33" s="248"/>
      <c r="AI33" s="248"/>
      <c r="AJ33" s="248"/>
      <c r="AK33" s="248"/>
      <c r="AL33" s="437"/>
    </row>
    <row r="34" spans="1:44" s="1933" customFormat="1" ht="18.75" hidden="1" customHeight="1">
      <c r="A34" s="1247"/>
      <c r="B34" s="1247"/>
      <c r="C34" s="1247"/>
      <c r="D34" s="1247"/>
      <c r="E34" s="1247"/>
      <c r="F34" s="1247"/>
      <c r="G34" s="1247"/>
      <c r="H34" s="1247"/>
      <c r="I34" s="1247"/>
      <c r="J34" s="1247"/>
      <c r="K34" s="1247"/>
      <c r="L34" s="1248"/>
      <c r="M34" s="1247"/>
      <c r="N34" s="1247"/>
      <c r="O34" s="1247"/>
      <c r="S34" s="2213" t="s">
        <v>1488</v>
      </c>
      <c r="T34" s="2213"/>
      <c r="U34" s="1251"/>
      <c r="V34" s="2214" t="str">
        <f>IF(TITLE_DATE_CHANGE_PERIOD="",IF(TITLE_DATE_PR="","",TITLE_DATE_PR),TITLE_DATE_CHANGE_PERIOD)</f>
        <v/>
      </c>
      <c r="W34" s="2214"/>
      <c r="X34" s="2214"/>
      <c r="Y34" s="2214"/>
      <c r="Z34" s="2214"/>
      <c r="AA34" s="2214"/>
      <c r="AB34" s="2214"/>
      <c r="AC34" s="253"/>
      <c r="AD34" s="2214" t="str">
        <f>IF(TITLE_DATE_CHANGE_PERIOD="",IF(TITLE_DATE_PR="","",TITLE_DATE_PR),TITLE_DATE_CHANGE_PERIOD)</f>
        <v/>
      </c>
      <c r="AE34" s="2214"/>
      <c r="AF34" s="2214"/>
      <c r="AG34" s="2214"/>
      <c r="AH34" s="2214"/>
      <c r="AI34" s="2214"/>
      <c r="AJ34" s="2214"/>
      <c r="AK34" s="253"/>
      <c r="AL34" s="253"/>
      <c r="AM34" s="199"/>
      <c r="AN34" s="295"/>
      <c r="AO34" s="295"/>
      <c r="AP34" s="295"/>
      <c r="AQ34" s="295"/>
      <c r="AR34" s="295"/>
    </row>
    <row r="35" spans="1:44" s="1933" customFormat="1" ht="18.75" hidden="1" customHeight="1">
      <c r="A35" s="1247"/>
      <c r="B35" s="1247"/>
      <c r="C35" s="1247"/>
      <c r="D35" s="1247"/>
      <c r="E35" s="1247"/>
      <c r="F35" s="1247"/>
      <c r="G35" s="1247"/>
      <c r="H35" s="1247"/>
      <c r="I35" s="1247"/>
      <c r="J35" s="1247"/>
      <c r="K35" s="1247"/>
      <c r="L35" s="1248"/>
      <c r="M35" s="1247"/>
      <c r="N35" s="1247"/>
      <c r="O35" s="1247"/>
      <c r="S35" s="2213" t="s">
        <v>1489</v>
      </c>
      <c r="T35" s="2213"/>
      <c r="U35" s="1251"/>
      <c r="V35" s="2214" t="str">
        <f>IF(TITLE_NUMBER_PR_CHANGE="",IF(TITLE_NUMBER_PR="","",TITLE_NUMBER_PR),TITLE_NUMBER_PR_CHANGE)</f>
        <v/>
      </c>
      <c r="W35" s="2214"/>
      <c r="X35" s="2214"/>
      <c r="Y35" s="2214"/>
      <c r="Z35" s="2214"/>
      <c r="AA35" s="2214"/>
      <c r="AB35" s="2214"/>
      <c r="AC35" s="253"/>
      <c r="AD35" s="2214" t="str">
        <f>IF(TITLE_NUMBER_PR_CHANGE="",IF(TITLE_NUMBER_PR="","",TITLE_NUMBER_PR),TITLE_NUMBER_PR_CHANGE)</f>
        <v/>
      </c>
      <c r="AE35" s="2214"/>
      <c r="AF35" s="2214"/>
      <c r="AG35" s="2214"/>
      <c r="AH35" s="2214"/>
      <c r="AI35" s="2214"/>
      <c r="AJ35" s="2214"/>
      <c r="AK35" s="253"/>
      <c r="AL35" s="253"/>
      <c r="AM35" s="199"/>
      <c r="AN35" s="295"/>
      <c r="AO35" s="295"/>
      <c r="AP35" s="295"/>
      <c r="AQ35" s="295"/>
      <c r="AR35" s="295"/>
    </row>
    <row r="36" spans="1:44" s="1933" customFormat="1" ht="0" hidden="1" customHeight="1">
      <c r="A36" s="1247"/>
      <c r="B36" s="1247"/>
      <c r="C36" s="1247"/>
      <c r="D36" s="1247"/>
      <c r="E36" s="1247"/>
      <c r="F36" s="1247"/>
      <c r="G36" s="1247"/>
      <c r="H36" s="1247"/>
      <c r="I36" s="1247"/>
      <c r="J36" s="1247"/>
      <c r="K36" s="1247"/>
      <c r="L36" s="1248"/>
      <c r="M36" s="1247"/>
      <c r="N36" s="1247"/>
      <c r="O36" s="1247"/>
      <c r="S36" s="250"/>
      <c r="T36" s="250"/>
      <c r="U36" s="1223"/>
      <c r="V36" s="253"/>
      <c r="W36" s="253"/>
      <c r="X36" s="253"/>
      <c r="Y36" s="253"/>
      <c r="Z36" s="253"/>
      <c r="AA36" s="253"/>
      <c r="AB36" s="253"/>
      <c r="AC36" s="197" t="s">
        <v>1490</v>
      </c>
      <c r="AD36" s="253"/>
      <c r="AE36" s="253"/>
      <c r="AF36" s="253"/>
      <c r="AG36" s="253"/>
      <c r="AH36" s="253"/>
      <c r="AI36" s="253"/>
      <c r="AJ36" s="253"/>
      <c r="AK36" s="197" t="s">
        <v>1490</v>
      </c>
      <c r="AN36" s="295"/>
      <c r="AO36" s="295"/>
      <c r="AP36" s="295"/>
      <c r="AQ36" s="295"/>
      <c r="AR36" s="295"/>
    </row>
    <row r="37" spans="1:44" ht="14.25" customHeight="1">
      <c r="Q37" s="304"/>
      <c r="R37" s="304"/>
      <c r="S37" s="1156"/>
      <c r="T37" s="289"/>
      <c r="U37" s="1115"/>
      <c r="V37" s="2232"/>
      <c r="W37" s="2232"/>
      <c r="X37" s="2232"/>
      <c r="Y37" s="2232"/>
      <c r="Z37" s="2232"/>
      <c r="AA37" s="2232"/>
      <c r="AB37" s="2232"/>
      <c r="AC37" s="2232"/>
      <c r="AD37" s="2232"/>
      <c r="AE37" s="2232"/>
      <c r="AF37" s="2232"/>
      <c r="AG37" s="2232"/>
      <c r="AH37" s="2232"/>
      <c r="AI37" s="2232"/>
      <c r="AJ37" s="2232"/>
      <c r="AK37" s="2232"/>
    </row>
    <row r="38" spans="1:44" ht="14.25" customHeight="1">
      <c r="Q38" s="304"/>
      <c r="R38" s="304"/>
      <c r="S38" s="2007" t="s">
        <v>292</v>
      </c>
      <c r="T38" s="2007"/>
      <c r="U38" s="2007"/>
      <c r="V38" s="2007"/>
      <c r="W38" s="2007"/>
      <c r="X38" s="2007"/>
      <c r="Y38" s="2007"/>
      <c r="Z38" s="2007"/>
      <c r="AA38" s="2007"/>
      <c r="AB38" s="2007"/>
      <c r="AC38" s="2007"/>
      <c r="AD38" s="2007"/>
      <c r="AE38" s="2007"/>
      <c r="AF38" s="2007"/>
      <c r="AG38" s="2007"/>
      <c r="AH38" s="2007"/>
      <c r="AI38" s="2007"/>
      <c r="AJ38" s="2007"/>
      <c r="AK38" s="2007"/>
      <c r="AL38" s="2007"/>
      <c r="AM38" s="2007" t="s">
        <v>293</v>
      </c>
    </row>
    <row r="39" spans="1:44" ht="14.25" customHeight="1">
      <c r="Q39" s="304"/>
      <c r="R39" s="304"/>
      <c r="S39" s="2233" t="s">
        <v>87</v>
      </c>
      <c r="T39" s="2097" t="s">
        <v>1491</v>
      </c>
      <c r="U39" s="219"/>
      <c r="V39" s="2234" t="s">
        <v>1492</v>
      </c>
      <c r="W39" s="2235"/>
      <c r="X39" s="2235"/>
      <c r="Y39" s="2235"/>
      <c r="Z39" s="2235"/>
      <c r="AA39" s="2235"/>
      <c r="AB39" s="2236"/>
      <c r="AC39" s="2237" t="s">
        <v>1493</v>
      </c>
      <c r="AD39" s="2234" t="s">
        <v>1492</v>
      </c>
      <c r="AE39" s="2235"/>
      <c r="AF39" s="2235"/>
      <c r="AG39" s="2235"/>
      <c r="AH39" s="2235"/>
      <c r="AI39" s="2235"/>
      <c r="AJ39" s="2236"/>
      <c r="AK39" s="2237" t="s">
        <v>1494</v>
      </c>
      <c r="AL39" s="2240" t="s">
        <v>1495</v>
      </c>
      <c r="AM39" s="2007"/>
    </row>
    <row r="40" spans="1:44" ht="33.75" customHeight="1">
      <c r="Q40" s="304"/>
      <c r="R40" s="304"/>
      <c r="S40" s="2233"/>
      <c r="T40" s="2097"/>
      <c r="U40" s="924"/>
      <c r="V40" s="2066" t="s">
        <v>1496</v>
      </c>
      <c r="W40" s="2229"/>
      <c r="X40" s="1989" t="s">
        <v>1498</v>
      </c>
      <c r="Y40" s="1988"/>
      <c r="Z40" s="1989" t="s">
        <v>1499</v>
      </c>
      <c r="AA40" s="1994"/>
      <c r="AB40" s="1988"/>
      <c r="AC40" s="2238"/>
      <c r="AD40" s="2066" t="s">
        <v>1496</v>
      </c>
      <c r="AE40" s="2229"/>
      <c r="AF40" s="1989" t="s">
        <v>1498</v>
      </c>
      <c r="AG40" s="1988"/>
      <c r="AH40" s="1989" t="s">
        <v>1499</v>
      </c>
      <c r="AI40" s="1994"/>
      <c r="AJ40" s="1988"/>
      <c r="AK40" s="2238"/>
      <c r="AL40" s="2241"/>
      <c r="AM40" s="2007"/>
    </row>
    <row r="41" spans="1:44" ht="33.75" customHeight="1">
      <c r="A41" s="1249"/>
      <c r="B41" s="1249" t="s">
        <v>136</v>
      </c>
      <c r="C41" s="1249" t="s">
        <v>137</v>
      </c>
      <c r="D41" s="1249" t="s">
        <v>138</v>
      </c>
      <c r="E41" s="1243" t="s">
        <v>1500</v>
      </c>
      <c r="F41" s="1243" t="s">
        <v>1501</v>
      </c>
      <c r="G41" s="1243" t="s">
        <v>1502</v>
      </c>
      <c r="H41" s="1243" t="s">
        <v>1503</v>
      </c>
      <c r="I41" s="1243" t="s">
        <v>1504</v>
      </c>
      <c r="J41" s="1243" t="s">
        <v>1505</v>
      </c>
      <c r="K41" s="1243" t="s">
        <v>1506</v>
      </c>
      <c r="L41" s="1243" t="s">
        <v>1481</v>
      </c>
      <c r="Q41" s="304"/>
      <c r="R41" s="304"/>
      <c r="S41" s="2233"/>
      <c r="T41" s="2097"/>
      <c r="U41" s="220"/>
      <c r="V41" s="2122"/>
      <c r="W41" s="2230"/>
      <c r="X41" s="1090" t="s">
        <v>1507</v>
      </c>
      <c r="Y41" s="1090" t="s">
        <v>1508</v>
      </c>
      <c r="Z41" s="1221" t="s">
        <v>1509</v>
      </c>
      <c r="AA41" s="2103" t="s">
        <v>1510</v>
      </c>
      <c r="AB41" s="2117"/>
      <c r="AC41" s="2239"/>
      <c r="AD41" s="2122"/>
      <c r="AE41" s="2230"/>
      <c r="AF41" s="1090" t="s">
        <v>1507</v>
      </c>
      <c r="AG41" s="1090" t="s">
        <v>1508</v>
      </c>
      <c r="AH41" s="1221" t="s">
        <v>1509</v>
      </c>
      <c r="AI41" s="2103" t="s">
        <v>1510</v>
      </c>
      <c r="AJ41" s="2117"/>
      <c r="AK41" s="2239"/>
      <c r="AL41" s="2242"/>
      <c r="AM41" s="2007"/>
    </row>
    <row r="42" spans="1:44" s="1708" customFormat="1" ht="11.25" hidden="1" customHeight="1">
      <c r="A42" s="1249"/>
      <c r="B42" s="1249"/>
      <c r="C42" s="1249"/>
      <c r="D42" s="1249"/>
      <c r="E42" s="1249"/>
      <c r="F42" s="1249"/>
      <c r="G42" s="1249"/>
      <c r="H42" s="1249"/>
      <c r="I42" s="1249"/>
      <c r="J42" s="1249"/>
      <c r="K42" s="1249"/>
      <c r="L42" s="1243"/>
      <c r="M42" s="1241"/>
      <c r="N42" s="1241"/>
      <c r="O42" s="1241"/>
      <c r="P42" s="1117"/>
      <c r="Q42" s="1118"/>
      <c r="R42" s="1133">
        <v>1</v>
      </c>
      <c r="S42" s="1158" t="s">
        <v>108</v>
      </c>
      <c r="T42" s="1134" t="s">
        <v>109</v>
      </c>
      <c r="U42" s="1116" t="str">
        <f ca="1">OFFSET(U42,0,-1)</f>
        <v>2</v>
      </c>
      <c r="V42" s="1218">
        <f ca="1">OFFSET(V42,0,-1)+1</f>
        <v>3</v>
      </c>
      <c r="W42" s="1218"/>
      <c r="X42" s="1218">
        <f ca="1">OFFSET(X42,0,-1)+1</f>
        <v>1</v>
      </c>
      <c r="Y42" s="1218">
        <f ca="1">OFFSET(Y42,0,-1)+1</f>
        <v>2</v>
      </c>
      <c r="Z42" s="1218">
        <f ca="1">OFFSET(Z42,0,-1)+1</f>
        <v>3</v>
      </c>
      <c r="AA42" s="2231">
        <f ca="1">OFFSET(AA42,0,-1)+1</f>
        <v>4</v>
      </c>
      <c r="AB42" s="2231"/>
      <c r="AC42" s="1218">
        <f ca="1">OFFSET(AC42,0,-2)+1</f>
        <v>5</v>
      </c>
      <c r="AD42" s="1218">
        <f ca="1">OFFSET(AD42,0,-1)+1</f>
        <v>6</v>
      </c>
      <c r="AE42" s="1218"/>
      <c r="AF42" s="1218">
        <f ca="1">OFFSET(AF42,0,-1)+1</f>
        <v>1</v>
      </c>
      <c r="AG42" s="1218">
        <f ca="1">OFFSET(AG42,0,-1)+1</f>
        <v>2</v>
      </c>
      <c r="AH42" s="1218">
        <f ca="1">OFFSET(AH42,0,-1)+1</f>
        <v>3</v>
      </c>
      <c r="AI42" s="2231">
        <f ca="1">OFFSET(AI42,0,-1)+1</f>
        <v>4</v>
      </c>
      <c r="AJ42" s="2231"/>
      <c r="AK42" s="1218">
        <f ca="1">OFFSET(AK42,0,-2)+1</f>
        <v>5</v>
      </c>
      <c r="AL42" s="1116">
        <f ca="1">OFFSET(AL42,0,-1)</f>
        <v>5</v>
      </c>
      <c r="AM42" s="1218">
        <f ca="1">OFFSET(AM42,0,-1)+1</f>
        <v>6</v>
      </c>
      <c r="AN42" s="439"/>
      <c r="AO42" s="439"/>
      <c r="AP42" s="439"/>
      <c r="AQ42" s="439"/>
      <c r="AR42" s="439"/>
    </row>
    <row r="43" spans="1:44" ht="21" customHeight="1">
      <c r="A43" s="1242" t="s">
        <v>183</v>
      </c>
      <c r="B43" s="1242"/>
      <c r="C43" s="1242"/>
      <c r="D43" s="1242"/>
      <c r="E43" s="2221">
        <v>1</v>
      </c>
      <c r="F43" s="1242"/>
      <c r="G43" s="1242"/>
      <c r="H43" s="1242"/>
      <c r="I43" s="1242"/>
      <c r="J43" s="1242"/>
      <c r="K43" s="1242"/>
      <c r="L43" s="1243"/>
      <c r="M43" s="1244"/>
      <c r="N43" s="1244"/>
      <c r="O43" s="1244"/>
      <c r="P43" s="285"/>
      <c r="Q43" s="284"/>
      <c r="R43" s="279"/>
      <c r="S43" s="1219">
        <f>INDEX(PT_DIFFERENTIATION_NUM_NTAR,MATCH(A43,PT_DIFFERENTIATION_NTAR_ID,0))</f>
        <v>0</v>
      </c>
      <c r="T43" s="216" t="s">
        <v>124</v>
      </c>
      <c r="U43" s="218"/>
      <c r="V43" s="2215"/>
      <c r="W43" s="2216"/>
      <c r="X43" s="2216"/>
      <c r="Y43" s="2216"/>
      <c r="Z43" s="2216"/>
      <c r="AA43" s="2216"/>
      <c r="AB43" s="2216"/>
      <c r="AC43" s="2217"/>
      <c r="AD43" s="2215" t="str">
        <f>INDEX(PT_DIFFERENTIATION_NTAR,MATCH(A43,PT_DIFFERENTIATION_NTAR_ID,0))</f>
        <v/>
      </c>
      <c r="AE43" s="2216"/>
      <c r="AF43" s="2216"/>
      <c r="AG43" s="2216"/>
      <c r="AH43" s="2216"/>
      <c r="AI43" s="2216"/>
      <c r="AJ43" s="2216"/>
      <c r="AK43" s="2216"/>
      <c r="AL43" s="2217"/>
      <c r="AM43" s="1138" t="s">
        <v>1462</v>
      </c>
      <c r="AO43" s="428"/>
      <c r="AP43" s="428" t="str">
        <f t="shared" ref="AP43:AP57" si="1">IF(T43="","",T43)</f>
        <v>Наименование тарифа</v>
      </c>
      <c r="AQ43" s="428"/>
      <c r="AR43" s="428"/>
    </row>
    <row r="44" spans="1:44" ht="21" customHeight="1">
      <c r="A44" s="1242" t="s">
        <v>183</v>
      </c>
      <c r="B44" s="1242" t="s">
        <v>184</v>
      </c>
      <c r="C44" s="1242"/>
      <c r="D44" s="1242"/>
      <c r="E44" s="2222"/>
      <c r="F44" s="2221">
        <v>1</v>
      </c>
      <c r="G44" s="1242"/>
      <c r="H44" s="1242"/>
      <c r="I44" s="1242"/>
      <c r="J44" s="1242"/>
      <c r="K44" s="1242"/>
      <c r="L44" s="1243"/>
      <c r="M44" s="1244"/>
      <c r="N44" s="1244"/>
      <c r="O44" s="1244"/>
      <c r="P44" s="1215"/>
      <c r="Q44" s="276"/>
      <c r="R44" s="277"/>
      <c r="S44" s="1219" t="str">
        <f>INDEX(PT_DIFFERENTIATION_NUM_TER,MATCH(B44,PT_DIFFERENTIATION_TER_ID,0))</f>
        <v>.</v>
      </c>
      <c r="T44" s="228" t="s">
        <v>1463</v>
      </c>
      <c r="U44" s="218"/>
      <c r="V44" s="2215"/>
      <c r="W44" s="2216"/>
      <c r="X44" s="2216"/>
      <c r="Y44" s="2216"/>
      <c r="Z44" s="2216"/>
      <c r="AA44" s="2216"/>
      <c r="AB44" s="2216"/>
      <c r="AC44" s="2217"/>
      <c r="AD44" s="2215" t="str">
        <f>INDEX(PT_DIFFERENTIATION_TER,MATCH(B44,PT_DIFFERENTIATION_TER_ID,0))</f>
        <v/>
      </c>
      <c r="AE44" s="2216"/>
      <c r="AF44" s="2216"/>
      <c r="AG44" s="2216"/>
      <c r="AH44" s="2216"/>
      <c r="AI44" s="2216"/>
      <c r="AJ44" s="2216"/>
      <c r="AK44" s="2216"/>
      <c r="AL44" s="2217"/>
      <c r="AM44" s="1138" t="s">
        <v>1464</v>
      </c>
      <c r="AO44" s="428"/>
      <c r="AP44" s="428" t="str">
        <f t="shared" si="1"/>
        <v>Территория действия тарифа</v>
      </c>
      <c r="AQ44" s="428"/>
      <c r="AR44" s="428"/>
    </row>
    <row r="45" spans="1:44" ht="23.25" customHeight="1">
      <c r="A45" s="1242" t="s">
        <v>183</v>
      </c>
      <c r="B45" s="1242" t="s">
        <v>184</v>
      </c>
      <c r="C45" s="1242" t="s">
        <v>185</v>
      </c>
      <c r="D45" s="1242"/>
      <c r="E45" s="2222"/>
      <c r="F45" s="2222"/>
      <c r="G45" s="2221">
        <v>1</v>
      </c>
      <c r="H45" s="1242"/>
      <c r="I45" s="1242"/>
      <c r="J45" s="1242"/>
      <c r="K45" s="1242"/>
      <c r="L45" s="1243"/>
      <c r="M45" s="1244"/>
      <c r="N45" s="1244"/>
      <c r="O45" s="1244"/>
      <c r="P45" s="278"/>
      <c r="Q45" s="276"/>
      <c r="R45" s="277"/>
      <c r="S45" s="1219" t="str">
        <f>INDEX(PT_DIFFERENTIATION_NUM_CS,MATCH(C45,PT_DIFFERENTIATION_CS_ID,0))</f>
        <v>..</v>
      </c>
      <c r="T45" s="229" t="s">
        <v>1465</v>
      </c>
      <c r="U45" s="218"/>
      <c r="V45" s="2215"/>
      <c r="W45" s="2216"/>
      <c r="X45" s="2216"/>
      <c r="Y45" s="2216"/>
      <c r="Z45" s="2216"/>
      <c r="AA45" s="2216"/>
      <c r="AB45" s="2216"/>
      <c r="AC45" s="2217"/>
      <c r="AD45" s="2215" t="str">
        <f>INDEX(PT_DIFFERENTIATION_CS,MATCH(C45,PT_DIFFERENTIATION_CS_ID,0))</f>
        <v/>
      </c>
      <c r="AE45" s="2216"/>
      <c r="AF45" s="2216"/>
      <c r="AG45" s="2216"/>
      <c r="AH45" s="2216"/>
      <c r="AI45" s="2216"/>
      <c r="AJ45" s="2216"/>
      <c r="AK45" s="2216"/>
      <c r="AL45" s="2217"/>
      <c r="AM45" s="1138" t="s">
        <v>1466</v>
      </c>
      <c r="AO45" s="428"/>
      <c r="AP45" s="428" t="str">
        <f t="shared" si="1"/>
        <v xml:space="preserve">Наименование системы теплоснабжения </v>
      </c>
      <c r="AQ45" s="428"/>
      <c r="AR45" s="428"/>
    </row>
    <row r="46" spans="1:44" ht="21" customHeight="1">
      <c r="A46" s="1242" t="s">
        <v>183</v>
      </c>
      <c r="B46" s="1242" t="s">
        <v>184</v>
      </c>
      <c r="C46" s="1242" t="s">
        <v>185</v>
      </c>
      <c r="D46" s="1242" t="s">
        <v>186</v>
      </c>
      <c r="E46" s="2222"/>
      <c r="F46" s="2222"/>
      <c r="G46" s="2222"/>
      <c r="H46" s="2221">
        <v>1</v>
      </c>
      <c r="I46" s="1242"/>
      <c r="J46" s="1242"/>
      <c r="K46" s="1242"/>
      <c r="L46" s="1243"/>
      <c r="M46" s="1244"/>
      <c r="N46" s="1244"/>
      <c r="O46" s="1244"/>
      <c r="P46" s="278"/>
      <c r="Q46" s="276"/>
      <c r="R46" s="277"/>
      <c r="S46" s="1219" t="str">
        <f>INDEX(PT_DIFFERENTIATION_NUM_IST_TE,MATCH(D46,PT_DIFFERENTIATION_IST_TE_ID,0))</f>
        <v>...</v>
      </c>
      <c r="T46" s="230" t="s">
        <v>1467</v>
      </c>
      <c r="U46" s="218"/>
      <c r="V46" s="2215"/>
      <c r="W46" s="2216"/>
      <c r="X46" s="2216"/>
      <c r="Y46" s="2216"/>
      <c r="Z46" s="2216"/>
      <c r="AA46" s="2216"/>
      <c r="AB46" s="2216"/>
      <c r="AC46" s="2217"/>
      <c r="AD46" s="2215" t="str">
        <f>INDEX(PT_DIFFERENTIATION_IST_TE,MATCH(D46,PT_DIFFERENTIATION_IST_TE_ID,0))</f>
        <v/>
      </c>
      <c r="AE46" s="2216"/>
      <c r="AF46" s="2216"/>
      <c r="AG46" s="2216"/>
      <c r="AH46" s="2216"/>
      <c r="AI46" s="2216"/>
      <c r="AJ46" s="2216"/>
      <c r="AK46" s="2216"/>
      <c r="AL46" s="2217"/>
      <c r="AM46" s="1138" t="s">
        <v>1468</v>
      </c>
      <c r="AO46" s="428"/>
      <c r="AP46" s="428" t="str">
        <f t="shared" si="1"/>
        <v xml:space="preserve">Источник тепловой энергии  </v>
      </c>
      <c r="AQ46" s="428"/>
      <c r="AR46" s="428"/>
    </row>
    <row r="47" spans="1:44" s="1755" customFormat="1" ht="0" hidden="1" customHeight="1">
      <c r="A47" s="1226" t="s">
        <v>183</v>
      </c>
      <c r="B47" s="1226" t="s">
        <v>184</v>
      </c>
      <c r="C47" s="1226" t="s">
        <v>185</v>
      </c>
      <c r="D47" s="1226" t="s">
        <v>186</v>
      </c>
      <c r="E47" s="2222"/>
      <c r="F47" s="2222"/>
      <c r="G47" s="2222"/>
      <c r="H47" s="2222"/>
      <c r="I47" s="2223" t="str">
        <f>S46&amp;".1"</f>
        <v>....1</v>
      </c>
      <c r="J47" s="1226"/>
      <c r="K47" s="1226"/>
      <c r="L47" s="1229" t="s">
        <v>1469</v>
      </c>
      <c r="M47" s="438"/>
      <c r="N47" s="438"/>
      <c r="O47" s="438"/>
      <c r="P47" s="2143">
        <v>1</v>
      </c>
      <c r="Q47" s="1214"/>
      <c r="R47" s="280"/>
      <c r="S47" s="932"/>
      <c r="T47" s="1261"/>
      <c r="U47" s="1262"/>
      <c r="V47" s="2249"/>
      <c r="W47" s="2250"/>
      <c r="X47" s="2250"/>
      <c r="Y47" s="2250"/>
      <c r="Z47" s="2250"/>
      <c r="AA47" s="2250"/>
      <c r="AB47" s="2250"/>
      <c r="AC47" s="2251"/>
      <c r="AD47" s="2249"/>
      <c r="AE47" s="2250"/>
      <c r="AF47" s="2250"/>
      <c r="AG47" s="2250"/>
      <c r="AH47" s="2250"/>
      <c r="AI47" s="2250"/>
      <c r="AJ47" s="2250"/>
      <c r="AK47" s="2250"/>
      <c r="AL47" s="2251"/>
      <c r="AM47" s="1263"/>
      <c r="AO47" s="428"/>
      <c r="AP47" s="428" t="str">
        <f t="shared" si="1"/>
        <v/>
      </c>
      <c r="AQ47" s="428"/>
      <c r="AR47" s="428"/>
    </row>
    <row r="48" spans="1:44" ht="21" customHeight="1">
      <c r="A48" s="1242" t="s">
        <v>183</v>
      </c>
      <c r="B48" s="1242" t="s">
        <v>184</v>
      </c>
      <c r="C48" s="1242" t="s">
        <v>185</v>
      </c>
      <c r="D48" s="1242" t="s">
        <v>186</v>
      </c>
      <c r="E48" s="2222"/>
      <c r="F48" s="2222"/>
      <c r="G48" s="2222"/>
      <c r="H48" s="2222"/>
      <c r="I48" s="2224"/>
      <c r="J48" s="2223" t="str">
        <f>S46&amp;".1"</f>
        <v>....1</v>
      </c>
      <c r="K48" s="1242"/>
      <c r="L48" s="1243" t="s">
        <v>1472</v>
      </c>
      <c r="P48" s="2143"/>
      <c r="Q48" s="2143">
        <v>1</v>
      </c>
      <c r="R48" s="281"/>
      <c r="S48" s="1219" t="str">
        <f>$J48</f>
        <v>....1</v>
      </c>
      <c r="T48" s="204" t="s">
        <v>1473</v>
      </c>
      <c r="U48" s="218"/>
      <c r="V48" s="2210"/>
      <c r="W48" s="2211"/>
      <c r="X48" s="2211"/>
      <c r="Y48" s="2211"/>
      <c r="Z48" s="2211"/>
      <c r="AA48" s="2211"/>
      <c r="AB48" s="2211"/>
      <c r="AC48" s="2212"/>
      <c r="AD48" s="2210"/>
      <c r="AE48" s="2211"/>
      <c r="AF48" s="2211"/>
      <c r="AG48" s="2211"/>
      <c r="AH48" s="2211"/>
      <c r="AI48" s="2211"/>
      <c r="AJ48" s="2211"/>
      <c r="AK48" s="2211"/>
      <c r="AL48" s="2212"/>
      <c r="AM48" s="1138" t="s">
        <v>1474</v>
      </c>
      <c r="AO48" s="428"/>
      <c r="AP48" s="428" t="str">
        <f t="shared" si="1"/>
        <v>Группа потребителей</v>
      </c>
      <c r="AQ48" s="428"/>
      <c r="AR48" s="428"/>
    </row>
    <row r="49" spans="1:44" ht="21" customHeight="1">
      <c r="A49" s="1242" t="s">
        <v>183</v>
      </c>
      <c r="B49" s="1242" t="s">
        <v>184</v>
      </c>
      <c r="C49" s="1242" t="s">
        <v>185</v>
      </c>
      <c r="D49" s="1242" t="s">
        <v>186</v>
      </c>
      <c r="E49" s="2222"/>
      <c r="F49" s="2222"/>
      <c r="G49" s="2222"/>
      <c r="H49" s="2222"/>
      <c r="I49" s="2224"/>
      <c r="J49" s="2224"/>
      <c r="K49" s="2223" t="str">
        <f>J48&amp;".1"</f>
        <v>....1.1</v>
      </c>
      <c r="L49" s="1243" t="s">
        <v>1475</v>
      </c>
      <c r="P49" s="2143"/>
      <c r="Q49" s="2143"/>
      <c r="R49" s="281">
        <v>1</v>
      </c>
      <c r="S49" s="1219" t="str">
        <f>$K49</f>
        <v>....1.1</v>
      </c>
      <c r="T49" s="1230"/>
      <c r="U49" s="218"/>
      <c r="V49" s="1664"/>
      <c r="W49" s="1665"/>
      <c r="X49" s="1664"/>
      <c r="Y49" s="1666"/>
      <c r="Z49" s="2225"/>
      <c r="AA49" s="2017" t="s">
        <v>62</v>
      </c>
      <c r="AB49" s="2225"/>
      <c r="AC49" s="2017" t="s">
        <v>62</v>
      </c>
      <c r="AD49" s="1664"/>
      <c r="AE49" s="1665"/>
      <c r="AF49" s="1664"/>
      <c r="AG49" s="1666"/>
      <c r="AH49" s="2225"/>
      <c r="AI49" s="2017" t="s">
        <v>62</v>
      </c>
      <c r="AJ49" s="2227"/>
      <c r="AK49" s="2017" t="s">
        <v>62</v>
      </c>
      <c r="AL49" s="1672"/>
      <c r="AM49" s="2243" t="s">
        <v>1519</v>
      </c>
      <c r="AN49" s="439" t="e">
        <f ca="1">STRCHECKDATE(V50:AL50)</f>
        <v>#NAME?</v>
      </c>
      <c r="AO49" s="428"/>
      <c r="AP49" s="428" t="str">
        <f t="shared" si="1"/>
        <v/>
      </c>
      <c r="AQ49" s="428"/>
      <c r="AR49" s="428"/>
    </row>
    <row r="50" spans="1:44" ht="0.75" customHeight="1">
      <c r="A50" s="1242" t="s">
        <v>183</v>
      </c>
      <c r="B50" s="1242" t="s">
        <v>184</v>
      </c>
      <c r="C50" s="1242" t="s">
        <v>185</v>
      </c>
      <c r="D50" s="1242" t="s">
        <v>186</v>
      </c>
      <c r="E50" s="2222"/>
      <c r="F50" s="2222"/>
      <c r="G50" s="2222"/>
      <c r="H50" s="2222"/>
      <c r="I50" s="2224"/>
      <c r="J50" s="2224"/>
      <c r="K50" s="2223"/>
      <c r="L50" s="1243"/>
      <c r="P50" s="2143"/>
      <c r="Q50" s="2143"/>
      <c r="R50" s="281"/>
      <c r="S50" s="1225"/>
      <c r="T50" s="218"/>
      <c r="U50" s="218"/>
      <c r="V50" s="1665"/>
      <c r="W50" s="1665"/>
      <c r="X50" s="1665"/>
      <c r="Y50" s="1667" t="str">
        <f>Z49&amp;"-"&amp;AB49</f>
        <v>-</v>
      </c>
      <c r="Z50" s="2226"/>
      <c r="AA50" s="2017"/>
      <c r="AB50" s="2226"/>
      <c r="AC50" s="2017"/>
      <c r="AD50" s="1665"/>
      <c r="AE50" s="1665"/>
      <c r="AF50" s="1665"/>
      <c r="AG50" s="1667" t="str">
        <f>AH49&amp;"-"&amp;AJ49</f>
        <v>-</v>
      </c>
      <c r="AH50" s="2226"/>
      <c r="AI50" s="2017"/>
      <c r="AJ50" s="2228"/>
      <c r="AK50" s="2017"/>
      <c r="AL50" s="1673"/>
      <c r="AM50" s="2244"/>
      <c r="AO50" s="428"/>
      <c r="AP50" s="428" t="str">
        <f t="shared" si="1"/>
        <v/>
      </c>
      <c r="AQ50" s="428"/>
      <c r="AR50" s="428"/>
    </row>
    <row r="51" spans="1:44" ht="11.25" customHeight="1">
      <c r="A51" s="1242" t="s">
        <v>183</v>
      </c>
      <c r="B51" s="1242" t="s">
        <v>184</v>
      </c>
      <c r="C51" s="1242" t="s">
        <v>185</v>
      </c>
      <c r="D51" s="1242" t="s">
        <v>186</v>
      </c>
      <c r="E51" s="2222"/>
      <c r="F51" s="2222"/>
      <c r="G51" s="2222"/>
      <c r="H51" s="2222"/>
      <c r="I51" s="2224"/>
      <c r="J51" s="2223"/>
      <c r="K51" s="1242"/>
      <c r="L51" s="1243"/>
      <c r="P51" s="2143"/>
      <c r="Q51" s="2143"/>
      <c r="R51" s="280"/>
      <c r="S51" s="1159"/>
      <c r="T51" s="205" t="s">
        <v>1477</v>
      </c>
      <c r="U51" s="294"/>
      <c r="V51" s="294"/>
      <c r="W51" s="294"/>
      <c r="X51" s="294"/>
      <c r="Y51" s="294"/>
      <c r="Z51" s="294"/>
      <c r="AA51" s="294"/>
      <c r="AB51" s="294"/>
      <c r="AC51" s="294"/>
      <c r="AD51" s="294"/>
      <c r="AE51" s="294"/>
      <c r="AF51" s="294"/>
      <c r="AG51" s="294"/>
      <c r="AH51" s="294"/>
      <c r="AI51" s="294"/>
      <c r="AJ51" s="294"/>
      <c r="AK51" s="294"/>
      <c r="AL51" s="251"/>
      <c r="AM51" s="2245"/>
      <c r="AO51" s="428"/>
      <c r="AP51" s="428" t="str">
        <f t="shared" si="1"/>
        <v>Добавить вид теплоносителя (параметры теплоносителя)</v>
      </c>
      <c r="AQ51" s="428"/>
      <c r="AR51" s="428"/>
    </row>
    <row r="52" spans="1:44" ht="11.25" customHeight="1">
      <c r="A52" s="1242" t="s">
        <v>183</v>
      </c>
      <c r="B52" s="1242" t="s">
        <v>184</v>
      </c>
      <c r="C52" s="1242" t="s">
        <v>185</v>
      </c>
      <c r="D52" s="1242" t="s">
        <v>186</v>
      </c>
      <c r="E52" s="2222"/>
      <c r="F52" s="2222"/>
      <c r="G52" s="2222"/>
      <c r="H52" s="2222"/>
      <c r="I52" s="2223"/>
      <c r="J52" s="1242"/>
      <c r="K52" s="1242"/>
      <c r="L52" s="1243"/>
      <c r="P52" s="2143"/>
      <c r="Q52" s="1214"/>
      <c r="R52" s="280"/>
      <c r="S52" s="1159"/>
      <c r="T52" s="291" t="s">
        <v>1478</v>
      </c>
      <c r="U52" s="294"/>
      <c r="V52" s="294"/>
      <c r="W52" s="294"/>
      <c r="X52" s="294"/>
      <c r="Y52" s="294"/>
      <c r="Z52" s="294"/>
      <c r="AA52" s="294"/>
      <c r="AB52" s="294"/>
      <c r="AC52" s="293"/>
      <c r="AD52" s="294"/>
      <c r="AE52" s="294"/>
      <c r="AF52" s="294"/>
      <c r="AG52" s="294"/>
      <c r="AH52" s="294"/>
      <c r="AI52" s="294"/>
      <c r="AJ52" s="294"/>
      <c r="AK52" s="293"/>
      <c r="AL52" s="294"/>
      <c r="AM52" s="221"/>
      <c r="AO52" s="428"/>
      <c r="AP52" s="428" t="str">
        <f t="shared" si="1"/>
        <v>Добавить группу потребителей</v>
      </c>
      <c r="AQ52" s="428"/>
      <c r="AR52" s="428"/>
    </row>
    <row r="53" spans="1:44" ht="0" hidden="1" customHeight="1">
      <c r="A53" s="1242" t="s">
        <v>183</v>
      </c>
      <c r="B53" s="1242" t="s">
        <v>184</v>
      </c>
      <c r="C53" s="1242" t="s">
        <v>185</v>
      </c>
      <c r="D53" s="1242" t="s">
        <v>186</v>
      </c>
      <c r="E53" s="2222"/>
      <c r="F53" s="2222"/>
      <c r="G53" s="2222"/>
      <c r="H53" s="2221"/>
      <c r="I53" s="1242"/>
      <c r="J53" s="1242"/>
      <c r="K53" s="1242"/>
      <c r="L53" s="1243"/>
      <c r="M53" s="1244"/>
      <c r="N53" s="1244"/>
      <c r="O53" s="464"/>
      <c r="P53" s="284"/>
      <c r="Q53" s="303"/>
      <c r="R53" s="279"/>
      <c r="S53" s="1264"/>
      <c r="T53" s="1265"/>
      <c r="U53" s="1266"/>
      <c r="V53" s="1266"/>
      <c r="W53" s="1266"/>
      <c r="X53" s="1266"/>
      <c r="Y53" s="1266"/>
      <c r="Z53" s="1266"/>
      <c r="AA53" s="1266"/>
      <c r="AB53" s="1266"/>
      <c r="AC53" s="1266"/>
      <c r="AD53" s="1266"/>
      <c r="AE53" s="1266"/>
      <c r="AF53" s="1266"/>
      <c r="AG53" s="1266"/>
      <c r="AH53" s="1266"/>
      <c r="AI53" s="1266"/>
      <c r="AJ53" s="1266"/>
      <c r="AK53" s="1266"/>
      <c r="AL53" s="1266"/>
      <c r="AM53" s="1267"/>
      <c r="AO53" s="428"/>
      <c r="AP53" s="428" t="str">
        <f t="shared" si="1"/>
        <v/>
      </c>
      <c r="AQ53" s="428"/>
      <c r="AR53" s="428"/>
    </row>
    <row r="54" spans="1:44" s="1755" customFormat="1" ht="0.75" customHeight="1">
      <c r="A54" s="1226" t="s">
        <v>183</v>
      </c>
      <c r="B54" s="1226" t="s">
        <v>184</v>
      </c>
      <c r="C54" s="1226" t="s">
        <v>185</v>
      </c>
      <c r="D54" s="1198"/>
      <c r="E54" s="2222"/>
      <c r="F54" s="2222"/>
      <c r="G54" s="2221"/>
      <c r="H54" s="1198"/>
      <c r="I54" s="1198"/>
      <c r="J54" s="1198"/>
      <c r="K54" s="1198"/>
      <c r="L54" s="1222"/>
      <c r="M54" s="1199"/>
      <c r="N54" s="1199"/>
      <c r="P54" s="1200"/>
      <c r="Q54" s="1201"/>
      <c r="R54" s="1200"/>
      <c r="S54" s="1206"/>
      <c r="T54" s="1209" t="s">
        <v>1438</v>
      </c>
      <c r="U54" s="1208"/>
      <c r="V54" s="1208"/>
      <c r="W54" s="1208"/>
      <c r="X54" s="1208"/>
      <c r="Y54" s="1208"/>
      <c r="Z54" s="1208"/>
      <c r="AA54" s="1208"/>
      <c r="AB54" s="1208"/>
      <c r="AC54" s="1208"/>
      <c r="AD54" s="1208"/>
      <c r="AE54" s="1208"/>
      <c r="AF54" s="1208"/>
      <c r="AG54" s="1208"/>
      <c r="AH54" s="1208"/>
      <c r="AI54" s="1208"/>
      <c r="AJ54" s="1208"/>
      <c r="AK54" s="1208"/>
      <c r="AL54" s="1208"/>
      <c r="AM54" s="1208"/>
      <c r="AO54" s="695"/>
      <c r="AP54" s="695" t="str">
        <f t="shared" si="1"/>
        <v>Добавить источник для дифференциации</v>
      </c>
      <c r="AQ54" s="695"/>
      <c r="AR54" s="695"/>
    </row>
    <row r="55" spans="1:44" s="1755" customFormat="1" ht="0.75" customHeight="1">
      <c r="A55" s="1226" t="s">
        <v>183</v>
      </c>
      <c r="B55" s="1226" t="s">
        <v>184</v>
      </c>
      <c r="C55" s="1198"/>
      <c r="D55" s="1198"/>
      <c r="E55" s="2222"/>
      <c r="F55" s="2221"/>
      <c r="G55" s="1198"/>
      <c r="H55" s="1198"/>
      <c r="I55" s="1198"/>
      <c r="J55" s="1198"/>
      <c r="K55" s="1198"/>
      <c r="L55" s="1222"/>
      <c r="M55" s="1205"/>
      <c r="N55" s="1205"/>
      <c r="P55" s="1200"/>
      <c r="Q55" s="1201"/>
      <c r="R55" s="1200"/>
      <c r="S55" s="1206"/>
      <c r="T55" s="1209" t="s">
        <v>1439</v>
      </c>
      <c r="U55" s="1208"/>
      <c r="V55" s="1208"/>
      <c r="W55" s="1208"/>
      <c r="X55" s="1208"/>
      <c r="Y55" s="1208"/>
      <c r="Z55" s="1208"/>
      <c r="AA55" s="1208"/>
      <c r="AB55" s="1208"/>
      <c r="AC55" s="1208"/>
      <c r="AD55" s="1208"/>
      <c r="AE55" s="1208"/>
      <c r="AF55" s="1208"/>
      <c r="AG55" s="1208"/>
      <c r="AH55" s="1208"/>
      <c r="AI55" s="1208"/>
      <c r="AJ55" s="1208"/>
      <c r="AK55" s="1208"/>
      <c r="AL55" s="1208"/>
      <c r="AM55" s="1208"/>
      <c r="AO55" s="695"/>
      <c r="AP55" s="695" t="str">
        <f t="shared" si="1"/>
        <v>Добавить централизованную систему для дифференциации</v>
      </c>
      <c r="AQ55" s="695"/>
      <c r="AR55" s="695"/>
    </row>
    <row r="56" spans="1:44" s="1755" customFormat="1" ht="0.75" customHeight="1">
      <c r="A56" s="1226" t="s">
        <v>183</v>
      </c>
      <c r="B56" s="1226"/>
      <c r="C56" s="1226"/>
      <c r="D56" s="1226"/>
      <c r="E56" s="2221"/>
      <c r="F56" s="1226"/>
      <c r="G56" s="1226"/>
      <c r="H56" s="1226"/>
      <c r="I56" s="1226"/>
      <c r="J56" s="1226"/>
      <c r="K56" s="1226"/>
      <c r="L56" s="1229"/>
      <c r="M56" s="1205"/>
      <c r="N56" s="1205"/>
      <c r="O56" s="446"/>
      <c r="P56" s="311"/>
      <c r="Q56" s="1227"/>
      <c r="R56" s="311"/>
      <c r="S56" s="1206"/>
      <c r="T56" s="1209" t="s">
        <v>1440</v>
      </c>
      <c r="U56" s="1208"/>
      <c r="V56" s="1208"/>
      <c r="W56" s="1208"/>
      <c r="X56" s="1208"/>
      <c r="Y56" s="1208"/>
      <c r="Z56" s="1208"/>
      <c r="AA56" s="1208"/>
      <c r="AB56" s="1208"/>
      <c r="AC56" s="1208"/>
      <c r="AD56" s="1208"/>
      <c r="AE56" s="1208"/>
      <c r="AF56" s="1208"/>
      <c r="AG56" s="1208"/>
      <c r="AH56" s="1208"/>
      <c r="AI56" s="1208"/>
      <c r="AJ56" s="1208"/>
      <c r="AK56" s="1208"/>
      <c r="AL56" s="1208"/>
      <c r="AM56" s="1208"/>
      <c r="AO56" s="428"/>
      <c r="AP56" s="428" t="str">
        <f t="shared" si="1"/>
        <v>Добавить территорию для дифференциации</v>
      </c>
      <c r="AQ56" s="428"/>
      <c r="AR56" s="428"/>
    </row>
    <row r="57" spans="1:44" s="1755" customFormat="1" ht="0.75" customHeight="1">
      <c r="A57" s="1198"/>
      <c r="B57" s="1198"/>
      <c r="C57" s="1198"/>
      <c r="D57" s="1198"/>
      <c r="E57" s="1226"/>
      <c r="F57" s="1198"/>
      <c r="G57" s="1198"/>
      <c r="H57" s="1198"/>
      <c r="I57" s="1198"/>
      <c r="J57" s="1198"/>
      <c r="K57" s="1198"/>
      <c r="L57" s="1222"/>
      <c r="M57" s="1205"/>
      <c r="N57" s="1205"/>
      <c r="P57" s="1200"/>
      <c r="Q57" s="1201"/>
      <c r="R57" s="1200"/>
      <c r="S57" s="1206"/>
      <c r="T57" s="1209" t="s">
        <v>1441</v>
      </c>
      <c r="U57" s="1208"/>
      <c r="V57" s="1208"/>
      <c r="W57" s="1208"/>
      <c r="X57" s="1208"/>
      <c r="Y57" s="1208"/>
      <c r="Z57" s="1208"/>
      <c r="AA57" s="1208"/>
      <c r="AB57" s="1208"/>
      <c r="AC57" s="1208"/>
      <c r="AD57" s="1208"/>
      <c r="AE57" s="1208"/>
      <c r="AF57" s="1208"/>
      <c r="AG57" s="1208"/>
      <c r="AH57" s="1208"/>
      <c r="AI57" s="1208"/>
      <c r="AJ57" s="1208"/>
      <c r="AK57" s="1208"/>
      <c r="AL57" s="1208"/>
      <c r="AM57" s="1208"/>
      <c r="AO57" s="695"/>
      <c r="AP57" s="695" t="str">
        <f t="shared" si="1"/>
        <v>Добавить наименование тарифа</v>
      </c>
      <c r="AQ57" s="695"/>
      <c r="AR57" s="695"/>
    </row>
    <row r="58" spans="1:44" ht="11.25" hidden="1" customHeight="1">
      <c r="M58" s="1034"/>
      <c r="N58" s="1034"/>
      <c r="O58" s="464"/>
      <c r="P58" s="1029"/>
      <c r="Q58" s="1029"/>
      <c r="R58" s="1029"/>
      <c r="S58" s="1029"/>
      <c r="AN58" s="1029"/>
      <c r="AO58" s="1029"/>
      <c r="AP58" s="1029"/>
      <c r="AQ58" s="1029"/>
      <c r="AR58" s="1029"/>
    </row>
    <row r="59" spans="1:44" ht="21.75" hidden="1" customHeight="1">
      <c r="O59" s="464"/>
      <c r="S59" s="1126" t="s">
        <v>1511</v>
      </c>
      <c r="T59" s="2220" t="s">
        <v>1520</v>
      </c>
      <c r="U59" s="2220"/>
      <c r="V59" s="2220"/>
      <c r="W59" s="2220"/>
      <c r="X59" s="2220"/>
      <c r="Y59" s="2220"/>
      <c r="Z59" s="2220"/>
      <c r="AA59" s="2220"/>
      <c r="AB59" s="2220"/>
      <c r="AC59" s="2220"/>
      <c r="AD59" s="2220"/>
      <c r="AE59" s="2220"/>
      <c r="AF59" s="2220"/>
      <c r="AG59" s="2220"/>
      <c r="AH59" s="2220"/>
      <c r="AI59" s="2220"/>
      <c r="AJ59" s="2220"/>
      <c r="AK59" s="2220"/>
      <c r="AL59" s="2220"/>
      <c r="AM59" s="2220"/>
    </row>
    <row r="60" spans="1:44" ht="29.25" hidden="1" customHeight="1">
      <c r="O60" s="464"/>
      <c r="T60" s="2220" t="s">
        <v>1521</v>
      </c>
      <c r="U60" s="2220"/>
      <c r="V60" s="2220"/>
      <c r="W60" s="2220"/>
      <c r="X60" s="2220"/>
      <c r="Y60" s="2220"/>
      <c r="Z60" s="2220"/>
      <c r="AA60" s="2220"/>
      <c r="AB60" s="2220"/>
      <c r="AC60" s="2220"/>
      <c r="AD60" s="2220"/>
      <c r="AE60" s="2220"/>
      <c r="AF60" s="2220"/>
      <c r="AG60" s="2220"/>
      <c r="AH60" s="2220"/>
      <c r="AI60" s="2220"/>
      <c r="AJ60" s="2220"/>
      <c r="AK60" s="2220"/>
      <c r="AL60" s="2220"/>
      <c r="AM60" s="2220"/>
    </row>
    <row r="61" spans="1:44" ht="39.75" hidden="1" customHeight="1">
      <c r="O61" s="464"/>
      <c r="T61" s="2220" t="s">
        <v>1522</v>
      </c>
      <c r="U61" s="2220"/>
      <c r="V61" s="2220"/>
      <c r="W61" s="2220"/>
      <c r="X61" s="2220"/>
      <c r="Y61" s="2220"/>
      <c r="Z61" s="2220"/>
      <c r="AA61" s="2220"/>
      <c r="AB61" s="2220"/>
      <c r="AC61" s="2220"/>
      <c r="AD61" s="2220"/>
      <c r="AE61" s="2220"/>
      <c r="AF61" s="2220"/>
      <c r="AG61" s="2220"/>
      <c r="AH61" s="2220"/>
      <c r="AI61" s="2220"/>
      <c r="AJ61" s="2220"/>
      <c r="AK61" s="2220"/>
      <c r="AL61" s="2220"/>
      <c r="AM61" s="2220"/>
    </row>
    <row r="62" spans="1:44" ht="14.25" hidden="1" customHeight="1">
      <c r="O62" s="464"/>
    </row>
    <row r="63" spans="1:44" ht="19.5" hidden="1" customHeight="1">
      <c r="O63" s="464"/>
      <c r="S63" s="1126" t="s">
        <v>1511</v>
      </c>
      <c r="T63" s="2049" t="s">
        <v>1514</v>
      </c>
      <c r="U63" s="2220"/>
      <c r="V63" s="2220"/>
      <c r="W63" s="2220"/>
      <c r="X63" s="2220"/>
      <c r="Y63" s="2220"/>
      <c r="Z63" s="2220"/>
      <c r="AA63" s="2220"/>
      <c r="AB63" s="2220"/>
      <c r="AC63" s="2220"/>
      <c r="AD63" s="2220"/>
      <c r="AE63" s="2220"/>
      <c r="AF63" s="2220"/>
      <c r="AG63" s="2220"/>
      <c r="AH63" s="2220"/>
      <c r="AI63" s="2220"/>
      <c r="AJ63" s="2220"/>
      <c r="AK63" s="2220"/>
      <c r="AL63" s="2220"/>
      <c r="AM63" s="2220"/>
    </row>
    <row r="64" spans="1:44" ht="27.75" hidden="1" customHeight="1">
      <c r="O64" s="464"/>
      <c r="T64" s="2220" t="s">
        <v>1523</v>
      </c>
      <c r="U64" s="2220"/>
      <c r="V64" s="2220"/>
      <c r="W64" s="2220"/>
      <c r="X64" s="2220"/>
      <c r="Y64" s="2220"/>
      <c r="Z64" s="2220"/>
      <c r="AA64" s="2220"/>
      <c r="AB64" s="2220"/>
      <c r="AC64" s="2220"/>
      <c r="AD64" s="2220"/>
      <c r="AE64" s="2220"/>
      <c r="AF64" s="2220"/>
      <c r="AG64" s="2220"/>
      <c r="AH64" s="2220"/>
      <c r="AI64" s="2220"/>
      <c r="AJ64" s="2220"/>
      <c r="AK64" s="2220"/>
      <c r="AL64" s="2220"/>
      <c r="AM64" s="2220"/>
    </row>
    <row r="65" spans="20:39" ht="33.75" hidden="1" customHeight="1">
      <c r="T65" s="2220" t="s">
        <v>1524</v>
      </c>
      <c r="U65" s="2220"/>
      <c r="V65" s="2220"/>
      <c r="W65" s="2220"/>
      <c r="X65" s="2220"/>
      <c r="Y65" s="2220"/>
      <c r="Z65" s="2220"/>
      <c r="AA65" s="2220"/>
      <c r="AB65" s="2220"/>
      <c r="AC65" s="2220"/>
      <c r="AD65" s="2220"/>
      <c r="AE65" s="2220"/>
      <c r="AF65" s="2220"/>
      <c r="AG65" s="2220"/>
      <c r="AH65" s="2220"/>
      <c r="AI65" s="2220"/>
      <c r="AJ65" s="2220"/>
      <c r="AK65" s="2220"/>
      <c r="AL65" s="2220"/>
      <c r="AM65" s="2220"/>
    </row>
  </sheetData>
  <sheetProtection formatColumns="0" formatRows="0" insertRows="0" deleteColumns="0" deleteRows="0" sort="0" autoFilter="0"/>
  <mergeCells count="113">
    <mergeCell ref="E2:E15"/>
    <mergeCell ref="V2:AC2"/>
    <mergeCell ref="AD2:AL2"/>
    <mergeCell ref="F3:F14"/>
    <mergeCell ref="V3:AC3"/>
    <mergeCell ref="AD3:AL3"/>
    <mergeCell ref="G4:G13"/>
    <mergeCell ref="V4:AC4"/>
    <mergeCell ref="AD4:AL4"/>
    <mergeCell ref="H5:H12"/>
    <mergeCell ref="V5:AC5"/>
    <mergeCell ref="AD5:AL5"/>
    <mergeCell ref="I6:I11"/>
    <mergeCell ref="P6:P11"/>
    <mergeCell ref="V6:AC6"/>
    <mergeCell ref="AD6:AL6"/>
    <mergeCell ref="AM8:AM10"/>
    <mergeCell ref="AH17:AH18"/>
    <mergeCell ref="AI17:AI18"/>
    <mergeCell ref="AJ17:AJ18"/>
    <mergeCell ref="AK17:AK18"/>
    <mergeCell ref="J7:J10"/>
    <mergeCell ref="Q7:Q10"/>
    <mergeCell ref="V7:AC7"/>
    <mergeCell ref="AD7:AL7"/>
    <mergeCell ref="K8:K9"/>
    <mergeCell ref="Z8:Z9"/>
    <mergeCell ref="AA8:AA9"/>
    <mergeCell ref="AB8:AB9"/>
    <mergeCell ref="AC8:AC9"/>
    <mergeCell ref="AH8:AH9"/>
    <mergeCell ref="AI8:AI9"/>
    <mergeCell ref="AJ8:AJ9"/>
    <mergeCell ref="AK8:AK9"/>
    <mergeCell ref="S30:T30"/>
    <mergeCell ref="V30:AB30"/>
    <mergeCell ref="AD30:AJ30"/>
    <mergeCell ref="S31:T31"/>
    <mergeCell ref="V31:AB31"/>
    <mergeCell ref="AD31:AJ31"/>
    <mergeCell ref="S26:AJ26"/>
    <mergeCell ref="S27:AJ27"/>
    <mergeCell ref="S29:T29"/>
    <mergeCell ref="V29:AB29"/>
    <mergeCell ref="AD29:AJ29"/>
    <mergeCell ref="S32:T32"/>
    <mergeCell ref="V32:AB32"/>
    <mergeCell ref="AD32:AJ32"/>
    <mergeCell ref="V37:AC37"/>
    <mergeCell ref="AD37:AK37"/>
    <mergeCell ref="S34:T34"/>
    <mergeCell ref="V34:AB34"/>
    <mergeCell ref="AD34:AJ34"/>
    <mergeCell ref="S35:T35"/>
    <mergeCell ref="V35:AB35"/>
    <mergeCell ref="AD35:AJ35"/>
    <mergeCell ref="AH40:AJ40"/>
    <mergeCell ref="AA41:AB41"/>
    <mergeCell ref="AI41:AJ41"/>
    <mergeCell ref="AA42:AB42"/>
    <mergeCell ref="AI42:AJ42"/>
    <mergeCell ref="S38:AL38"/>
    <mergeCell ref="AM38:AM41"/>
    <mergeCell ref="S39:S41"/>
    <mergeCell ref="T39:T41"/>
    <mergeCell ref="V39:AB39"/>
    <mergeCell ref="AC39:AC41"/>
    <mergeCell ref="AD39:AJ39"/>
    <mergeCell ref="AK39:AK41"/>
    <mergeCell ref="AL39:AL41"/>
    <mergeCell ref="V40:V41"/>
    <mergeCell ref="W40:W41"/>
    <mergeCell ref="X40:Y40"/>
    <mergeCell ref="Z40:AB40"/>
    <mergeCell ref="AD40:AD41"/>
    <mergeCell ref="AE40:AE41"/>
    <mergeCell ref="AF40:AG40"/>
    <mergeCell ref="E43:E56"/>
    <mergeCell ref="V43:AC43"/>
    <mergeCell ref="AD43:AL43"/>
    <mergeCell ref="F44:F55"/>
    <mergeCell ref="V44:AC44"/>
    <mergeCell ref="AD44:AL44"/>
    <mergeCell ref="G45:G54"/>
    <mergeCell ref="V45:AC45"/>
    <mergeCell ref="AD45:AL45"/>
    <mergeCell ref="H46:H53"/>
    <mergeCell ref="V46:AC46"/>
    <mergeCell ref="AD46:AL46"/>
    <mergeCell ref="I47:I52"/>
    <mergeCell ref="P47:P52"/>
    <mergeCell ref="V47:AC47"/>
    <mergeCell ref="AD47:AL47"/>
    <mergeCell ref="T63:AM63"/>
    <mergeCell ref="T64:AM64"/>
    <mergeCell ref="T65:AM65"/>
    <mergeCell ref="AM49:AM51"/>
    <mergeCell ref="T59:AM59"/>
    <mergeCell ref="T60:AM60"/>
    <mergeCell ref="T61:AM61"/>
    <mergeCell ref="J48:J51"/>
    <mergeCell ref="Q48:Q51"/>
    <mergeCell ref="V48:AC48"/>
    <mergeCell ref="AD48:AL48"/>
    <mergeCell ref="K49:K50"/>
    <mergeCell ref="Z49:Z50"/>
    <mergeCell ref="AA49:AA50"/>
    <mergeCell ref="AB49:AB50"/>
    <mergeCell ref="AC49:AC50"/>
    <mergeCell ref="AH49:AH50"/>
    <mergeCell ref="AI49:AI50"/>
    <mergeCell ref="AJ49:AJ50"/>
    <mergeCell ref="AK49:AK50"/>
  </mergeCells>
  <dataValidations count="8">
    <dataValidation allowBlank="1" sqref="S131123:AM131129 S196659:AM196665 S262195:AM262201 S327731:AM327737 S393267:AM393273 S458803:AM458809 S524339:AM524345 S589875:AM589881 S655411:AM655417 S720947:AM720953 S786483:AM786489 S852019:AM852025 S917555:AM917561 S983091:AM983097 S65587:AM65593"/>
    <dataValidation type="list" allowBlank="1" showInputMessage="1" errorTitle="Ошибка" error="Выберите значение из списка" prompt="Выберите значение из списка" sqref="V983088:AL983088 V65584:AL65584 V131120:AL131120 V196656:AL196656 V262192:AL262192 V327728:AL327728 V393264:AL393264 V458800:AL458800 V524336:AL524336 V589872:AL589872 V655408:AL655408 V720944:AL720944 V786480:AL786480 V852016:AL852016 V917552:AL917552">
      <formula1>kind_of_cons</formula1>
    </dataValidation>
    <dataValidation type="list" allowBlank="1" showInputMessage="1" showErrorMessage="1" errorTitle="Ошибка" error="Выберите значение из списка" 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
      <formula1>kind_of_scheme_in</formula1>
    </dataValidation>
    <dataValidation type="textLength" operator="lessThanOrEqual" allowBlank="1" showInputMessage="1" showErrorMessage="1" errorTitle="Ошибка" error="Допускается ввод не более 900 символов!" sqref="AM65579:AM65586 AM131115:AM131122 AM196651:AM196658 AM262187:AM262194 AM327723:AM327730 AM393259:AM393266 AM458795:AM458802 AM524331:AM524338 AM589867:AM589874 AM655403:AM655410 AM720939:AM720946 AM786475:AM786482 AM852011:AM852018 AM917547:AM917554 AM983083:AM983090">
      <formula1>900</formula1>
    </dataValidation>
    <dataValidation type="list" allowBlank="1" showInputMessage="1" showErrorMessage="1" errorTitle="Ошибка" error="Выберите значение из списка" sqref="T65585 T131121 T196657 T262193 T327729 T393265 T458801 T524337 T589873 T655409 T720945 T786481 T852017 T917553 T983089">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dataValidation allowBlank="1" showInputMessage="1" showErrorMessage="1" prompt="Для выбора выполните двойной щелчок левой клавиши мыши по соответствующей ячейке."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49 AK524337 AK8 AK589873 AK655409 AK17 AK720945 AK786481 AK852017 AK917553 AK983089 AK65585 AK131121 AK458801 AK196657 AI49 AK262193 AI8 AC8 AA8 AI17 AK327729 AA49 AC49 AK393265"/>
    <dataValidation allowBlank="1" promptTitle="checkPeriodRange" sqref="Y65586 Y131122 Y196658 Y262194 Y327730 Y393266 Y458802 Y524338 Y589874 Y655410 Y720946 Y786482 Y852018 Y917554 Y983090 Y9 AG65586 AG131122 AG196658 AG262194 AG327730 AG393266 AG458802 AG524338 AG589874 AG655410 AG720946 AG786482 AG852018 AG917554 AG983090 AG9 Y50 AG18 AG50"/>
  </dataValidation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39997558519241921"/>
  </sheetPr>
  <dimension ref="A1:AR65"/>
  <sheetViews>
    <sheetView showGridLines="0" topLeftCell="Q25" zoomScale="90" workbookViewId="0"/>
  </sheetViews>
  <sheetFormatPr defaultColWidth="10.5703125" defaultRowHeight="14.25" customHeight="1"/>
  <cols>
    <col min="1" max="1" width="10.5703125" style="1742" hidden="1"/>
    <col min="2" max="2" width="11" style="1742" hidden="1" customWidth="1"/>
    <col min="3" max="3" width="10.5703125" style="1742" hidden="1"/>
    <col min="4" max="4" width="11.85546875" style="1742" hidden="1" customWidth="1"/>
    <col min="5" max="5" width="10" style="1742" hidden="1" customWidth="1"/>
    <col min="6" max="6" width="8.7109375" style="1742" hidden="1" customWidth="1"/>
    <col min="7" max="7" width="7.5703125" style="1742" hidden="1" customWidth="1"/>
    <col min="8" max="8" width="11.42578125" style="1742" hidden="1" customWidth="1"/>
    <col min="9" max="9" width="12" style="1742" hidden="1" customWidth="1"/>
    <col min="10" max="10" width="9.85546875" style="1742" hidden="1" customWidth="1"/>
    <col min="11" max="11" width="11.42578125" style="1742" hidden="1" customWidth="1"/>
    <col min="12" max="12" width="19.140625" style="1741" hidden="1" customWidth="1"/>
    <col min="13" max="14" width="12.28515625" style="1683" hidden="1" customWidth="1"/>
    <col min="15" max="15" width="23.42578125" style="1683" hidden="1" customWidth="1"/>
    <col min="16" max="16" width="3.7109375" style="1720" hidden="1" customWidth="1"/>
    <col min="17" max="18" width="3.7109375" style="1674" customWidth="1"/>
    <col min="19" max="19" width="12.7109375" style="1713" customWidth="1"/>
    <col min="20" max="20" width="32" style="1829" customWidth="1"/>
    <col min="21" max="21" width="0.140625" style="1829" customWidth="1"/>
    <col min="22" max="22" width="24.7109375" style="1829" hidden="1" customWidth="1"/>
    <col min="23" max="23" width="0.140625" style="1829" hidden="1" customWidth="1"/>
    <col min="24" max="25" width="24.7109375" style="1829" hidden="1" customWidth="1"/>
    <col min="26" max="26" width="11.7109375" style="1829" hidden="1" customWidth="1"/>
    <col min="27" max="27" width="3.7109375" style="1829" hidden="1" customWidth="1"/>
    <col min="28" max="28" width="11.7109375" style="1829" hidden="1" customWidth="1"/>
    <col min="29" max="29" width="8.5703125" style="1829" hidden="1" customWidth="1"/>
    <col min="30" max="30" width="24.7109375" style="1829" customWidth="1"/>
    <col min="31" max="31" width="0.140625" style="1829" customWidth="1"/>
    <col min="32" max="33" width="24.7109375" style="1829" customWidth="1"/>
    <col min="34" max="34" width="11.7109375" style="1829" customWidth="1"/>
    <col min="35" max="35" width="3.7109375" style="1829" customWidth="1"/>
    <col min="36" max="36" width="11.7109375" style="1829" customWidth="1"/>
    <col min="37" max="37" width="8.5703125" style="1829" hidden="1" customWidth="1"/>
    <col min="38" max="38" width="4.7109375" style="1829" customWidth="1"/>
    <col min="39" max="39" width="115.7109375" style="1829" customWidth="1"/>
    <col min="40" max="41" width="10.5703125" style="1755"/>
    <col min="42" max="42" width="11.140625" style="1755" customWidth="1"/>
    <col min="43" max="44" width="10.5703125" style="1755"/>
  </cols>
  <sheetData>
    <row r="1" spans="1:44" ht="14.25" hidden="1" customHeight="1">
      <c r="Y1" s="254"/>
      <c r="Z1" s="254"/>
      <c r="AG1" s="254"/>
      <c r="AH1" s="254"/>
    </row>
    <row r="2" spans="1:44" ht="21" hidden="1" customHeight="1">
      <c r="A2" s="1242"/>
      <c r="B2" s="1242"/>
      <c r="C2" s="1242"/>
      <c r="D2" s="1242"/>
      <c r="E2" s="2221">
        <v>1</v>
      </c>
      <c r="F2" s="1242"/>
      <c r="G2" s="1242"/>
      <c r="H2" s="1242"/>
      <c r="I2" s="1242"/>
      <c r="J2" s="1242"/>
      <c r="K2" s="1242"/>
      <c r="L2" s="1243"/>
      <c r="M2" s="1244"/>
      <c r="N2" s="1244"/>
      <c r="O2" s="1244"/>
      <c r="P2" s="285"/>
      <c r="Q2" s="284"/>
      <c r="R2" s="279"/>
      <c r="S2" s="1219" t="e">
        <f>INDEX(PT_DIFFERENTIATION_NUM_NTAR,MATCH(A2,PT_DIFFERENTIATION_NTAR_ID,0))</f>
        <v>#N/A</v>
      </c>
      <c r="T2" s="216" t="s">
        <v>124</v>
      </c>
      <c r="U2" s="218"/>
      <c r="V2" s="2215"/>
      <c r="W2" s="2216"/>
      <c r="X2" s="2216"/>
      <c r="Y2" s="2216"/>
      <c r="Z2" s="2216"/>
      <c r="AA2" s="2216"/>
      <c r="AB2" s="2216"/>
      <c r="AC2" s="2217"/>
      <c r="AD2" s="2215" t="e">
        <f>INDEX(PT_DIFFERENTIATION_NTAR,MATCH(A2,PT_DIFFERENTIATION_NTAR_ID,0))</f>
        <v>#N/A</v>
      </c>
      <c r="AE2" s="2216"/>
      <c r="AF2" s="2216"/>
      <c r="AG2" s="2216"/>
      <c r="AH2" s="2216"/>
      <c r="AI2" s="2216"/>
      <c r="AJ2" s="2216"/>
      <c r="AK2" s="2216"/>
      <c r="AL2" s="2217"/>
      <c r="AM2" s="1138" t="s">
        <v>1462</v>
      </c>
      <c r="AO2" s="428"/>
      <c r="AP2" s="428" t="str">
        <f t="shared" ref="AP2:AP15" si="0">IF(T2="","",T2)</f>
        <v>Наименование тарифа</v>
      </c>
      <c r="AQ2" s="428"/>
      <c r="AR2" s="428"/>
    </row>
    <row r="3" spans="1:44" ht="21" hidden="1" customHeight="1">
      <c r="A3" s="1242"/>
      <c r="B3" s="1242"/>
      <c r="C3" s="1242"/>
      <c r="D3" s="1242"/>
      <c r="E3" s="2222"/>
      <c r="F3" s="2221">
        <v>1</v>
      </c>
      <c r="G3" s="1242"/>
      <c r="H3" s="1242"/>
      <c r="I3" s="1242"/>
      <c r="J3" s="1242"/>
      <c r="K3" s="1242"/>
      <c r="L3" s="1243"/>
      <c r="M3" s="1244"/>
      <c r="N3" s="1244"/>
      <c r="O3" s="1244"/>
      <c r="P3" s="1215"/>
      <c r="Q3" s="276"/>
      <c r="R3" s="277"/>
      <c r="S3" s="1219" t="e">
        <f>INDEX(PT_DIFFERENTIATION_NUM_TER,MATCH(B3,PT_DIFFERENTIATION_TER_ID,0))</f>
        <v>#N/A</v>
      </c>
      <c r="T3" s="228" t="s">
        <v>1463</v>
      </c>
      <c r="U3" s="218"/>
      <c r="V3" s="2215"/>
      <c r="W3" s="2216"/>
      <c r="X3" s="2216"/>
      <c r="Y3" s="2216"/>
      <c r="Z3" s="2216"/>
      <c r="AA3" s="2216"/>
      <c r="AB3" s="2216"/>
      <c r="AC3" s="2217"/>
      <c r="AD3" s="2215" t="e">
        <f>INDEX(PT_DIFFERENTIATION_TER,MATCH(B3,PT_DIFFERENTIATION_TER_ID,0))</f>
        <v>#N/A</v>
      </c>
      <c r="AE3" s="2216"/>
      <c r="AF3" s="2216"/>
      <c r="AG3" s="2216"/>
      <c r="AH3" s="2216"/>
      <c r="AI3" s="2216"/>
      <c r="AJ3" s="2216"/>
      <c r="AK3" s="2216"/>
      <c r="AL3" s="2217"/>
      <c r="AM3" s="1138" t="s">
        <v>1464</v>
      </c>
      <c r="AO3" s="428"/>
      <c r="AP3" s="428" t="str">
        <f t="shared" si="0"/>
        <v>Территория действия тарифа</v>
      </c>
      <c r="AQ3" s="428"/>
      <c r="AR3" s="428"/>
    </row>
    <row r="4" spans="1:44" ht="23.25" hidden="1" customHeight="1">
      <c r="A4" s="1242"/>
      <c r="B4" s="1242"/>
      <c r="C4" s="1242"/>
      <c r="D4" s="1242"/>
      <c r="E4" s="2222"/>
      <c r="F4" s="2222"/>
      <c r="G4" s="2221">
        <v>1</v>
      </c>
      <c r="H4" s="1242"/>
      <c r="I4" s="1242"/>
      <c r="J4" s="1242"/>
      <c r="K4" s="1242"/>
      <c r="L4" s="1243"/>
      <c r="M4" s="1244"/>
      <c r="N4" s="1244"/>
      <c r="O4" s="1244"/>
      <c r="P4" s="278"/>
      <c r="Q4" s="276"/>
      <c r="R4" s="277"/>
      <c r="S4" s="1219" t="e">
        <f>INDEX(PT_DIFFERENTIATION_NUM_CS,MATCH(C4,PT_DIFFERENTIATION_CS_ID,0))</f>
        <v>#N/A</v>
      </c>
      <c r="T4" s="229" t="s">
        <v>1465</v>
      </c>
      <c r="U4" s="218"/>
      <c r="V4" s="2215"/>
      <c r="W4" s="2216"/>
      <c r="X4" s="2216"/>
      <c r="Y4" s="2216"/>
      <c r="Z4" s="2216"/>
      <c r="AA4" s="2216"/>
      <c r="AB4" s="2216"/>
      <c r="AC4" s="2217"/>
      <c r="AD4" s="2215" t="e">
        <f>INDEX(PT_DIFFERENTIATION_CS,MATCH(C4,PT_DIFFERENTIATION_CS_ID,0))</f>
        <v>#N/A</v>
      </c>
      <c r="AE4" s="2216"/>
      <c r="AF4" s="2216"/>
      <c r="AG4" s="2216"/>
      <c r="AH4" s="2216"/>
      <c r="AI4" s="2216"/>
      <c r="AJ4" s="2216"/>
      <c r="AK4" s="2216"/>
      <c r="AL4" s="2217"/>
      <c r="AM4" s="1138" t="s">
        <v>1466</v>
      </c>
      <c r="AO4" s="428"/>
      <c r="AP4" s="428" t="str">
        <f t="shared" si="0"/>
        <v xml:space="preserve">Наименование системы теплоснабжения </v>
      </c>
      <c r="AQ4" s="428"/>
      <c r="AR4" s="428"/>
    </row>
    <row r="5" spans="1:44" ht="21" hidden="1" customHeight="1">
      <c r="A5" s="1242"/>
      <c r="B5" s="1242"/>
      <c r="C5" s="1242"/>
      <c r="D5" s="1242"/>
      <c r="E5" s="2222"/>
      <c r="F5" s="2222"/>
      <c r="G5" s="2222"/>
      <c r="H5" s="2221">
        <v>1</v>
      </c>
      <c r="I5" s="1242"/>
      <c r="J5" s="1242"/>
      <c r="K5" s="1242"/>
      <c r="L5" s="1243"/>
      <c r="M5" s="1244"/>
      <c r="N5" s="1244"/>
      <c r="O5" s="1244"/>
      <c r="P5" s="278"/>
      <c r="Q5" s="276"/>
      <c r="R5" s="277"/>
      <c r="S5" s="1219" t="e">
        <f>INDEX(PT_DIFFERENTIATION_NUM_IST_TE,MATCH(D5,PT_DIFFERENTIATION_IST_TE_ID,0))</f>
        <v>#N/A</v>
      </c>
      <c r="T5" s="230" t="s">
        <v>1467</v>
      </c>
      <c r="U5" s="218"/>
      <c r="V5" s="2215"/>
      <c r="W5" s="2216"/>
      <c r="X5" s="2216"/>
      <c r="Y5" s="2216"/>
      <c r="Z5" s="2216"/>
      <c r="AA5" s="2216"/>
      <c r="AB5" s="2216"/>
      <c r="AC5" s="2217"/>
      <c r="AD5" s="2215" t="e">
        <f>INDEX(PT_DIFFERENTIATION_IST_TE,MATCH(D5,PT_DIFFERENTIATION_IST_TE_ID,0))</f>
        <v>#N/A</v>
      </c>
      <c r="AE5" s="2216"/>
      <c r="AF5" s="2216"/>
      <c r="AG5" s="2216"/>
      <c r="AH5" s="2216"/>
      <c r="AI5" s="2216"/>
      <c r="AJ5" s="2216"/>
      <c r="AK5" s="2216"/>
      <c r="AL5" s="2217"/>
      <c r="AM5" s="1138" t="s">
        <v>1468</v>
      </c>
      <c r="AO5" s="428"/>
      <c r="AP5" s="428" t="str">
        <f t="shared" si="0"/>
        <v xml:space="preserve">Источник тепловой энергии  </v>
      </c>
      <c r="AQ5" s="428"/>
      <c r="AR5" s="428"/>
    </row>
    <row r="6" spans="1:44" ht="14.25" hidden="1" customHeight="1">
      <c r="A6" s="1242"/>
      <c r="B6" s="1242"/>
      <c r="C6" s="1242"/>
      <c r="D6" s="1242"/>
      <c r="E6" s="2222"/>
      <c r="F6" s="2222"/>
      <c r="G6" s="2222"/>
      <c r="H6" s="2222"/>
      <c r="I6" s="2223" t="e">
        <f>S5&amp;".1"</f>
        <v>#N/A</v>
      </c>
      <c r="J6" s="1242"/>
      <c r="K6" s="1242"/>
      <c r="L6" s="1243" t="s">
        <v>1469</v>
      </c>
      <c r="M6" s="464"/>
      <c r="P6" s="2143">
        <v>1</v>
      </c>
      <c r="Q6" s="1214"/>
      <c r="R6" s="280"/>
      <c r="S6" s="932"/>
      <c r="T6" s="1261"/>
      <c r="U6" s="1262"/>
      <c r="V6" s="2249"/>
      <c r="W6" s="2250"/>
      <c r="X6" s="2250"/>
      <c r="Y6" s="2250"/>
      <c r="Z6" s="2250"/>
      <c r="AA6" s="2250"/>
      <c r="AB6" s="2250"/>
      <c r="AC6" s="2251"/>
      <c r="AD6" s="2249"/>
      <c r="AE6" s="2250"/>
      <c r="AF6" s="2250"/>
      <c r="AG6" s="2250"/>
      <c r="AH6" s="2250"/>
      <c r="AI6" s="2250"/>
      <c r="AJ6" s="2250"/>
      <c r="AK6" s="2250"/>
      <c r="AL6" s="2251"/>
      <c r="AM6" s="1263"/>
      <c r="AO6" s="428"/>
      <c r="AP6" s="428" t="str">
        <f t="shared" si="0"/>
        <v/>
      </c>
      <c r="AQ6" s="428"/>
      <c r="AR6" s="428"/>
    </row>
    <row r="7" spans="1:44" ht="21" hidden="1" customHeight="1">
      <c r="A7" s="1242"/>
      <c r="B7" s="1242"/>
      <c r="C7" s="1242"/>
      <c r="D7" s="1242"/>
      <c r="E7" s="2222"/>
      <c r="F7" s="2222"/>
      <c r="G7" s="2222"/>
      <c r="H7" s="2222"/>
      <c r="I7" s="2224"/>
      <c r="J7" s="2223" t="e">
        <f>I6&amp;".1"</f>
        <v>#N/A</v>
      </c>
      <c r="K7" s="1242"/>
      <c r="L7" s="1243" t="s">
        <v>1472</v>
      </c>
      <c r="M7" s="464"/>
      <c r="N7" s="1245"/>
      <c r="P7" s="2143"/>
      <c r="Q7" s="2143">
        <v>1</v>
      </c>
      <c r="R7" s="281"/>
      <c r="S7" s="1219" t="e">
        <f>$J7</f>
        <v>#N/A</v>
      </c>
      <c r="T7" s="204" t="s">
        <v>1473</v>
      </c>
      <c r="U7" s="218"/>
      <c r="V7" s="2210"/>
      <c r="W7" s="2211"/>
      <c r="X7" s="2211"/>
      <c r="Y7" s="2211"/>
      <c r="Z7" s="2211"/>
      <c r="AA7" s="2211"/>
      <c r="AB7" s="2211"/>
      <c r="AC7" s="2212"/>
      <c r="AD7" s="2210"/>
      <c r="AE7" s="2211"/>
      <c r="AF7" s="2211"/>
      <c r="AG7" s="2211"/>
      <c r="AH7" s="2211"/>
      <c r="AI7" s="2211"/>
      <c r="AJ7" s="2211"/>
      <c r="AK7" s="2211"/>
      <c r="AL7" s="2212"/>
      <c r="AM7" s="1138" t="s">
        <v>1474</v>
      </c>
      <c r="AO7" s="428"/>
      <c r="AP7" s="428" t="str">
        <f t="shared" si="0"/>
        <v>Группа потребителей</v>
      </c>
      <c r="AQ7" s="428"/>
      <c r="AR7" s="428"/>
    </row>
    <row r="8" spans="1:44" ht="21" hidden="1" customHeight="1">
      <c r="A8" s="1242"/>
      <c r="B8" s="1242"/>
      <c r="C8" s="1242"/>
      <c r="D8" s="1242"/>
      <c r="E8" s="2222"/>
      <c r="F8" s="2222"/>
      <c r="G8" s="2222"/>
      <c r="H8" s="2222"/>
      <c r="I8" s="2224"/>
      <c r="J8" s="2224"/>
      <c r="K8" s="2223" t="e">
        <f>J7&amp;".1"</f>
        <v>#N/A</v>
      </c>
      <c r="L8" s="1243" t="s">
        <v>1475</v>
      </c>
      <c r="M8" s="464"/>
      <c r="N8" s="1245"/>
      <c r="O8" s="1245"/>
      <c r="P8" s="2143"/>
      <c r="Q8" s="2143"/>
      <c r="R8" s="281">
        <v>1</v>
      </c>
      <c r="S8" s="1219" t="e">
        <f>$K8</f>
        <v>#N/A</v>
      </c>
      <c r="T8" s="1230"/>
      <c r="U8" s="218"/>
      <c r="V8" s="1664"/>
      <c r="W8" s="1665"/>
      <c r="X8" s="1664"/>
      <c r="Y8" s="1666"/>
      <c r="Z8" s="2225"/>
      <c r="AA8" s="2017" t="s">
        <v>62</v>
      </c>
      <c r="AB8" s="2225"/>
      <c r="AC8" s="2017" t="s">
        <v>62</v>
      </c>
      <c r="AD8" s="1664"/>
      <c r="AE8" s="1665"/>
      <c r="AF8" s="1664"/>
      <c r="AG8" s="1666"/>
      <c r="AH8" s="2225"/>
      <c r="AI8" s="2017" t="s">
        <v>62</v>
      </c>
      <c r="AJ8" s="2225"/>
      <c r="AK8" s="2017" t="s">
        <v>62</v>
      </c>
      <c r="AL8" s="1665"/>
      <c r="AM8" s="2243" t="s">
        <v>1476</v>
      </c>
      <c r="AN8" s="439" t="e">
        <f ca="1">STRCHECKDATE(V9:AL9)</f>
        <v>#NAME?</v>
      </c>
      <c r="AO8" s="428"/>
      <c r="AP8" s="428" t="str">
        <f t="shared" si="0"/>
        <v/>
      </c>
      <c r="AQ8" s="428"/>
      <c r="AR8" s="428"/>
    </row>
    <row r="9" spans="1:44" ht="0.75" hidden="1" customHeight="1">
      <c r="A9" s="1242"/>
      <c r="B9" s="1242"/>
      <c r="C9" s="1242"/>
      <c r="D9" s="1242"/>
      <c r="E9" s="2222"/>
      <c r="F9" s="2222"/>
      <c r="G9" s="2222"/>
      <c r="H9" s="2222"/>
      <c r="I9" s="2224"/>
      <c r="J9" s="2224"/>
      <c r="K9" s="2223"/>
      <c r="L9" s="1243"/>
      <c r="M9" s="464"/>
      <c r="N9" s="1245"/>
      <c r="O9" s="1245"/>
      <c r="P9" s="2143"/>
      <c r="Q9" s="2143"/>
      <c r="R9" s="281"/>
      <c r="S9" s="1225"/>
      <c r="T9" s="218"/>
      <c r="U9" s="218"/>
      <c r="V9" s="1665"/>
      <c r="W9" s="1665"/>
      <c r="X9" s="1665"/>
      <c r="Y9" s="1667" t="str">
        <f>Z8&amp;"-"&amp;AB8</f>
        <v>-</v>
      </c>
      <c r="Z9" s="2226"/>
      <c r="AA9" s="2017"/>
      <c r="AB9" s="2226"/>
      <c r="AC9" s="2017"/>
      <c r="AD9" s="1665"/>
      <c r="AE9" s="1665"/>
      <c r="AF9" s="1665"/>
      <c r="AG9" s="1667" t="str">
        <f>AH8&amp;"-"&amp;AJ8</f>
        <v>-</v>
      </c>
      <c r="AH9" s="2226"/>
      <c r="AI9" s="2017"/>
      <c r="AJ9" s="2226"/>
      <c r="AK9" s="2017"/>
      <c r="AL9" s="1665"/>
      <c r="AM9" s="2244"/>
      <c r="AO9" s="428"/>
      <c r="AP9" s="428" t="str">
        <f t="shared" si="0"/>
        <v/>
      </c>
      <c r="AQ9" s="428"/>
      <c r="AR9" s="428"/>
    </row>
    <row r="10" spans="1:44" ht="15" hidden="1" customHeight="1">
      <c r="A10" s="1242"/>
      <c r="B10" s="1242"/>
      <c r="C10" s="1242"/>
      <c r="D10" s="1242"/>
      <c r="E10" s="2222"/>
      <c r="F10" s="2222"/>
      <c r="G10" s="2222"/>
      <c r="H10" s="2222"/>
      <c r="I10" s="2224"/>
      <c r="J10" s="2223"/>
      <c r="K10" s="1242"/>
      <c r="L10" s="1243"/>
      <c r="M10" s="464"/>
      <c r="N10" s="1245"/>
      <c r="P10" s="2143"/>
      <c r="Q10" s="2143"/>
      <c r="R10" s="280"/>
      <c r="S10" s="1159"/>
      <c r="T10" s="205" t="s">
        <v>1477</v>
      </c>
      <c r="U10" s="294"/>
      <c r="V10" s="294"/>
      <c r="W10" s="294"/>
      <c r="X10" s="294"/>
      <c r="Y10" s="294"/>
      <c r="Z10" s="294"/>
      <c r="AA10" s="294"/>
      <c r="AB10" s="294"/>
      <c r="AC10" s="294"/>
      <c r="AD10" s="294"/>
      <c r="AE10" s="294"/>
      <c r="AF10" s="294"/>
      <c r="AG10" s="294"/>
      <c r="AH10" s="294"/>
      <c r="AI10" s="294"/>
      <c r="AJ10" s="294"/>
      <c r="AK10" s="294"/>
      <c r="AL10" s="251"/>
      <c r="AM10" s="2245"/>
      <c r="AO10" s="428"/>
      <c r="AP10" s="428" t="str">
        <f t="shared" si="0"/>
        <v>Добавить вид теплоносителя (параметры теплоносителя)</v>
      </c>
      <c r="AQ10" s="428"/>
      <c r="AR10" s="428"/>
    </row>
    <row r="11" spans="1:44" ht="15" hidden="1" customHeight="1">
      <c r="A11" s="1242"/>
      <c r="B11" s="1242"/>
      <c r="C11" s="1242"/>
      <c r="D11" s="1242"/>
      <c r="E11" s="2222"/>
      <c r="F11" s="2222"/>
      <c r="G11" s="2222"/>
      <c r="H11" s="2222"/>
      <c r="I11" s="2223"/>
      <c r="J11" s="1242"/>
      <c r="K11" s="1242"/>
      <c r="L11" s="1243"/>
      <c r="M11" s="464"/>
      <c r="P11" s="2143"/>
      <c r="Q11" s="1214"/>
      <c r="R11" s="280"/>
      <c r="S11" s="1159"/>
      <c r="T11" s="291" t="s">
        <v>1478</v>
      </c>
      <c r="U11" s="294"/>
      <c r="V11" s="294"/>
      <c r="W11" s="294"/>
      <c r="X11" s="294"/>
      <c r="Y11" s="294"/>
      <c r="Z11" s="294"/>
      <c r="AA11" s="294"/>
      <c r="AB11" s="294"/>
      <c r="AC11" s="293"/>
      <c r="AD11" s="294"/>
      <c r="AE11" s="294"/>
      <c r="AF11" s="294"/>
      <c r="AG11" s="294"/>
      <c r="AH11" s="294"/>
      <c r="AI11" s="294"/>
      <c r="AJ11" s="294"/>
      <c r="AK11" s="293"/>
      <c r="AL11" s="294"/>
      <c r="AM11" s="221"/>
      <c r="AO11" s="428"/>
      <c r="AP11" s="428" t="str">
        <f t="shared" si="0"/>
        <v>Добавить группу потребителей</v>
      </c>
      <c r="AQ11" s="428"/>
      <c r="AR11" s="428"/>
    </row>
    <row r="12" spans="1:44" ht="14.25" hidden="1" customHeight="1">
      <c r="A12" s="1242"/>
      <c r="B12" s="1242"/>
      <c r="C12" s="1242"/>
      <c r="D12" s="1242"/>
      <c r="E12" s="2222"/>
      <c r="F12" s="2222"/>
      <c r="G12" s="2222"/>
      <c r="H12" s="2221"/>
      <c r="I12" s="1242"/>
      <c r="J12" s="1242"/>
      <c r="K12" s="1242"/>
      <c r="L12" s="1243"/>
      <c r="M12" s="1244"/>
      <c r="N12" s="1244"/>
      <c r="O12" s="464"/>
      <c r="P12" s="284"/>
      <c r="Q12" s="303"/>
      <c r="R12" s="279"/>
      <c r="S12" s="1264"/>
      <c r="T12" s="1265"/>
      <c r="U12" s="1266"/>
      <c r="V12" s="1266"/>
      <c r="W12" s="1266"/>
      <c r="X12" s="1266"/>
      <c r="Y12" s="1266"/>
      <c r="Z12" s="1266"/>
      <c r="AA12" s="1266"/>
      <c r="AB12" s="1266"/>
      <c r="AC12" s="1266"/>
      <c r="AD12" s="1266"/>
      <c r="AE12" s="1266"/>
      <c r="AF12" s="1266"/>
      <c r="AG12" s="1266"/>
      <c r="AH12" s="1266"/>
      <c r="AI12" s="1266"/>
      <c r="AJ12" s="1266"/>
      <c r="AK12" s="1266"/>
      <c r="AL12" s="1266"/>
      <c r="AM12" s="1267"/>
      <c r="AO12" s="428"/>
      <c r="AP12" s="428" t="str">
        <f t="shared" si="0"/>
        <v/>
      </c>
      <c r="AQ12" s="428"/>
      <c r="AR12" s="428"/>
    </row>
    <row r="13" spans="1:44" s="1755" customFormat="1" ht="0.75" hidden="1" customHeight="1">
      <c r="A13" s="1198"/>
      <c r="B13" s="1198"/>
      <c r="C13" s="1198"/>
      <c r="D13" s="1198"/>
      <c r="E13" s="2222"/>
      <c r="F13" s="2222"/>
      <c r="G13" s="2221"/>
      <c r="H13" s="1198"/>
      <c r="I13" s="1198"/>
      <c r="J13" s="1198"/>
      <c r="K13" s="1198"/>
      <c r="L13" s="1222"/>
      <c r="M13" s="1199"/>
      <c r="N13" s="1199"/>
      <c r="P13" s="1200"/>
      <c r="Q13" s="1201"/>
      <c r="R13" s="1200"/>
      <c r="S13" s="1202"/>
      <c r="T13" s="1203" t="s">
        <v>1438</v>
      </c>
      <c r="U13" s="1204"/>
      <c r="V13" s="1204"/>
      <c r="W13" s="1204"/>
      <c r="X13" s="1204"/>
      <c r="Y13" s="1204"/>
      <c r="Z13" s="1204"/>
      <c r="AA13" s="1204"/>
      <c r="AB13" s="1204"/>
      <c r="AC13" s="1204"/>
      <c r="AD13" s="1204"/>
      <c r="AE13" s="1204"/>
      <c r="AF13" s="1204"/>
      <c r="AG13" s="1204"/>
      <c r="AH13" s="1204"/>
      <c r="AI13" s="1204"/>
      <c r="AJ13" s="1204"/>
      <c r="AK13" s="1204"/>
      <c r="AL13" s="1204"/>
      <c r="AM13" s="1204"/>
      <c r="AO13" s="695"/>
      <c r="AP13" s="695" t="str">
        <f t="shared" si="0"/>
        <v>Добавить источник для дифференциации</v>
      </c>
      <c r="AQ13" s="695"/>
      <c r="AR13" s="695"/>
    </row>
    <row r="14" spans="1:44" s="1755" customFormat="1" ht="0.75" hidden="1" customHeight="1">
      <c r="A14" s="1198"/>
      <c r="B14" s="1198"/>
      <c r="C14" s="1198"/>
      <c r="D14" s="1198"/>
      <c r="E14" s="2222"/>
      <c r="F14" s="2221"/>
      <c r="G14" s="1198"/>
      <c r="H14" s="1198"/>
      <c r="I14" s="1198"/>
      <c r="J14" s="1198"/>
      <c r="K14" s="1198"/>
      <c r="L14" s="1222"/>
      <c r="M14" s="1205"/>
      <c r="N14" s="1205"/>
      <c r="P14" s="1200"/>
      <c r="Q14" s="1201"/>
      <c r="R14" s="1200"/>
      <c r="S14" s="1206"/>
      <c r="T14" s="1207" t="s">
        <v>1439</v>
      </c>
      <c r="U14" s="1208"/>
      <c r="V14" s="1208"/>
      <c r="W14" s="1208"/>
      <c r="X14" s="1208"/>
      <c r="Y14" s="1208"/>
      <c r="Z14" s="1208"/>
      <c r="AA14" s="1208"/>
      <c r="AB14" s="1208"/>
      <c r="AC14" s="1208"/>
      <c r="AD14" s="1208"/>
      <c r="AE14" s="1208"/>
      <c r="AF14" s="1208"/>
      <c r="AG14" s="1208"/>
      <c r="AH14" s="1208"/>
      <c r="AI14" s="1208"/>
      <c r="AJ14" s="1208"/>
      <c r="AK14" s="1208"/>
      <c r="AL14" s="1208"/>
      <c r="AM14" s="1208"/>
      <c r="AO14" s="695"/>
      <c r="AP14" s="695" t="str">
        <f t="shared" si="0"/>
        <v>Добавить централизованную систему для дифференциации</v>
      </c>
      <c r="AQ14" s="695"/>
      <c r="AR14" s="695"/>
    </row>
    <row r="15" spans="1:44" s="1755" customFormat="1" ht="0.75" hidden="1" customHeight="1">
      <c r="A15" s="1198"/>
      <c r="B15" s="1198"/>
      <c r="C15" s="1198"/>
      <c r="D15" s="1198"/>
      <c r="E15" s="2221"/>
      <c r="F15" s="1198"/>
      <c r="G15" s="1198"/>
      <c r="H15" s="1198"/>
      <c r="I15" s="1198"/>
      <c r="J15" s="1198"/>
      <c r="K15" s="1198"/>
      <c r="L15" s="1222"/>
      <c r="M15" s="1205"/>
      <c r="N15" s="1205"/>
      <c r="P15" s="1200"/>
      <c r="Q15" s="1201"/>
      <c r="R15" s="1200"/>
      <c r="S15" s="1206"/>
      <c r="T15" s="1209" t="s">
        <v>1440</v>
      </c>
      <c r="U15" s="1208"/>
      <c r="V15" s="1208"/>
      <c r="W15" s="1208"/>
      <c r="X15" s="1208"/>
      <c r="Y15" s="1208"/>
      <c r="Z15" s="1208"/>
      <c r="AA15" s="1208"/>
      <c r="AB15" s="1208"/>
      <c r="AC15" s="1208"/>
      <c r="AD15" s="1208"/>
      <c r="AE15" s="1208"/>
      <c r="AF15" s="1208"/>
      <c r="AG15" s="1208"/>
      <c r="AH15" s="1208"/>
      <c r="AI15" s="1208"/>
      <c r="AJ15" s="1208"/>
      <c r="AK15" s="1208"/>
      <c r="AL15" s="1208"/>
      <c r="AM15" s="1208"/>
      <c r="AO15" s="695"/>
      <c r="AP15" s="695" t="str">
        <f t="shared" si="0"/>
        <v>Добавить территорию для дифференциации</v>
      </c>
      <c r="AQ15" s="695"/>
      <c r="AR15" s="695"/>
    </row>
    <row r="16" spans="1:44" ht="14.25" hidden="1" customHeight="1">
      <c r="AC16" s="254"/>
      <c r="AK16" s="254"/>
    </row>
    <row r="17" spans="1:44" ht="14.25" hidden="1" customHeight="1">
      <c r="AD17" s="1668"/>
      <c r="AE17" s="1668"/>
      <c r="AF17" s="1668"/>
      <c r="AG17" s="1669"/>
      <c r="AH17" s="2219"/>
      <c r="AI17" s="2218" t="s">
        <v>62</v>
      </c>
      <c r="AJ17" s="2219"/>
      <c r="AK17" s="2218" t="s">
        <v>62</v>
      </c>
    </row>
    <row r="18" spans="1:44" ht="14.25" hidden="1" customHeight="1">
      <c r="AD18" s="1668"/>
      <c r="AE18" s="1668"/>
      <c r="AF18" s="1668"/>
      <c r="AG18" s="1667" t="str">
        <f>AH17&amp;"-"&amp;AJ17</f>
        <v>-</v>
      </c>
      <c r="AH18" s="2218"/>
      <c r="AI18" s="2218"/>
      <c r="AJ18" s="2218"/>
      <c r="AK18" s="2218"/>
    </row>
    <row r="19" spans="1:44" ht="14.25" hidden="1" customHeight="1">
      <c r="AK19" s="254"/>
    </row>
    <row r="20" spans="1:44" s="1742" customFormat="1" ht="22.5" hidden="1" customHeight="1">
      <c r="L20" s="1212"/>
      <c r="M20" s="1241"/>
      <c r="N20" s="1241"/>
      <c r="O20" s="1246" t="s">
        <v>1480</v>
      </c>
      <c r="P20" s="1241"/>
      <c r="Q20" s="1250"/>
      <c r="R20" s="1250"/>
      <c r="S20" s="643"/>
      <c r="Z20" s="1246"/>
      <c r="AB20" s="1246"/>
      <c r="AC20" s="1245"/>
      <c r="AH20" s="1246"/>
      <c r="AJ20" s="1246"/>
      <c r="AK20" s="1245"/>
      <c r="AN20" s="439"/>
      <c r="AO20" s="439"/>
      <c r="AP20" s="439"/>
      <c r="AQ20" s="439"/>
      <c r="AR20" s="439"/>
    </row>
    <row r="21" spans="1:44" s="1742" customFormat="1" ht="14.25" hidden="1" customHeight="1">
      <c r="L21" s="1212"/>
      <c r="M21" s="1241"/>
      <c r="N21" s="1241"/>
      <c r="O21" s="1241"/>
      <c r="P21" s="1241"/>
      <c r="Q21" s="1250"/>
      <c r="R21" s="1250"/>
      <c r="S21" s="643"/>
      <c r="AC21" s="1245"/>
      <c r="AK21" s="1245"/>
      <c r="AN21" s="439"/>
      <c r="AO21" s="439"/>
      <c r="AP21" s="439"/>
      <c r="AQ21" s="439"/>
      <c r="AR21" s="439"/>
    </row>
    <row r="22" spans="1:44" s="1742" customFormat="1" ht="14.25" hidden="1" customHeight="1">
      <c r="L22" s="1212"/>
      <c r="M22" s="1241"/>
      <c r="N22" s="1241"/>
      <c r="O22" s="1243" t="s">
        <v>1481</v>
      </c>
      <c r="P22" s="1241"/>
      <c r="Q22" s="1250"/>
      <c r="R22" s="1250"/>
      <c r="S22" s="643"/>
      <c r="T22" s="1034" t="s">
        <v>1482</v>
      </c>
      <c r="AA22" s="111" t="s">
        <v>1483</v>
      </c>
      <c r="AC22" s="111" t="s">
        <v>1484</v>
      </c>
      <c r="AD22" s="1034" t="s">
        <v>1482</v>
      </c>
      <c r="AI22" s="111" t="s">
        <v>1485</v>
      </c>
      <c r="AK22" s="111" t="s">
        <v>1484</v>
      </c>
      <c r="AN22" s="439"/>
      <c r="AO22" s="439"/>
      <c r="AP22" s="439"/>
      <c r="AQ22" s="439"/>
      <c r="AR22" s="439"/>
    </row>
    <row r="23" spans="1:44" ht="14.25" hidden="1" customHeight="1">
      <c r="O23" s="1243"/>
    </row>
    <row r="24" spans="1:44" ht="14.25" hidden="1" customHeight="1">
      <c r="O24" s="1243"/>
    </row>
    <row r="25" spans="1:44" ht="14.25" customHeight="1">
      <c r="Q25" s="304"/>
      <c r="R25" s="304"/>
      <c r="S25" s="1156"/>
      <c r="T25" s="289"/>
      <c r="U25" s="289"/>
      <c r="V25" s="437"/>
      <c r="W25" s="437"/>
      <c r="X25" s="437"/>
      <c r="Y25" s="437"/>
      <c r="Z25" s="437"/>
      <c r="AA25" s="437"/>
      <c r="AB25" s="437"/>
      <c r="AC25" s="437"/>
      <c r="AD25" s="437"/>
      <c r="AE25" s="437"/>
      <c r="AF25" s="437"/>
      <c r="AG25" s="437"/>
      <c r="AH25" s="437"/>
      <c r="AI25" s="437"/>
      <c r="AJ25" s="437"/>
      <c r="AK25" s="437"/>
    </row>
    <row r="26" spans="1:44" ht="64.5" customHeight="1">
      <c r="Q26" s="304"/>
      <c r="R26" s="304"/>
      <c r="S26" s="2065" t="str">
        <f>IF(TEMPLATE_GROUP="P",PT_P_FORM_HEAT_5_NAME_FORM,PT_R_FORM_HEAT_22_NAME_FORM)</f>
        <v>Форма 22. Информация о расчетной величине тарифов на теплоноситель, поставляемый теплоснабжающими организациями потребителям, другим теплоснабжающим организациям, тарифов на услуги по передаче тепловой энергии, теплоносителя, о расчетной величине тарифов на теплоноситель в виде воды, поставляемый другим теплоснабжающим организациям в ценовых зонах теплоснабжения с использованием открытых систем теплоснабжения (горячего водоснабжения), за исключением случая, предусмотренного пунктом 6 части 1 статьи 23.4 Федерального закона "О теплоснабжении" &lt;1&gt;</v>
      </c>
      <c r="T26" s="2065"/>
      <c r="U26" s="2065"/>
      <c r="V26" s="2065"/>
      <c r="W26" s="2065"/>
      <c r="X26" s="2065"/>
      <c r="Y26" s="2065"/>
      <c r="Z26" s="2065"/>
      <c r="AA26" s="2065"/>
      <c r="AB26" s="2065"/>
      <c r="AC26" s="2065"/>
      <c r="AD26" s="2065"/>
      <c r="AE26" s="2065"/>
      <c r="AF26" s="2065"/>
      <c r="AG26" s="2065"/>
      <c r="AH26" s="2065"/>
      <c r="AI26" s="2065"/>
      <c r="AJ26" s="2065"/>
      <c r="AK26" s="1114"/>
    </row>
    <row r="27" spans="1:44" ht="14.25" customHeight="1">
      <c r="Q27" s="304"/>
      <c r="R27" s="304"/>
      <c r="S27" s="2088" t="str">
        <f>IF(org=0,"Не определено",org)</f>
        <v>МУП г. Астрахани "Коммунэнерго"</v>
      </c>
      <c r="T27" s="2088"/>
      <c r="U27" s="2088"/>
      <c r="V27" s="2088"/>
      <c r="W27" s="2088"/>
      <c r="X27" s="2088"/>
      <c r="Y27" s="2088"/>
      <c r="Z27" s="2088"/>
      <c r="AA27" s="2088"/>
      <c r="AB27" s="2088"/>
      <c r="AC27" s="2088"/>
      <c r="AD27" s="2088"/>
      <c r="AE27" s="2088"/>
      <c r="AF27" s="2088"/>
      <c r="AG27" s="2088"/>
      <c r="AH27" s="2088"/>
      <c r="AI27" s="2088"/>
      <c r="AJ27" s="2088"/>
      <c r="AK27" s="1114"/>
    </row>
    <row r="28" spans="1:44" ht="14.25" hidden="1" customHeight="1">
      <c r="Q28" s="304"/>
      <c r="R28" s="304"/>
      <c r="S28" s="1156"/>
      <c r="T28" s="289"/>
      <c r="U28" s="289"/>
      <c r="V28" s="248"/>
      <c r="W28" s="248"/>
      <c r="X28" s="248"/>
      <c r="Y28" s="248"/>
      <c r="Z28" s="248"/>
      <c r="AA28" s="248"/>
      <c r="AB28" s="248"/>
      <c r="AC28" s="248"/>
      <c r="AD28" s="248"/>
      <c r="AE28" s="248"/>
      <c r="AF28" s="248"/>
      <c r="AG28" s="248"/>
      <c r="AH28" s="248"/>
      <c r="AI28" s="248"/>
      <c r="AJ28" s="248"/>
      <c r="AK28" s="248"/>
      <c r="AL28" s="437"/>
    </row>
    <row r="29" spans="1:44" s="1933" customFormat="1" ht="25.5" hidden="1" customHeight="1">
      <c r="A29" s="1247"/>
      <c r="B29" s="1247"/>
      <c r="C29" s="1247"/>
      <c r="D29" s="1247"/>
      <c r="E29" s="1247"/>
      <c r="F29" s="1247"/>
      <c r="G29" s="1247"/>
      <c r="H29" s="1247"/>
      <c r="I29" s="1247"/>
      <c r="J29" s="1247"/>
      <c r="K29" s="1247"/>
      <c r="L29" s="1248"/>
      <c r="M29" s="1247"/>
      <c r="N29" s="1247"/>
      <c r="O29" s="1247"/>
      <c r="S29" s="2213" t="s">
        <v>38</v>
      </c>
      <c r="T29" s="2213"/>
      <c r="U29" s="1251"/>
      <c r="V29" s="2214" t="str">
        <f>IF(TITLE_NAME_OR_PR_CHANGE="",IF(TITLE_NAME_OR_PR="","",TITLE_NAME_OR_PR),TITLE_NAME_OR_PR_CHANGE)</f>
        <v/>
      </c>
      <c r="W29" s="2214"/>
      <c r="X29" s="2214"/>
      <c r="Y29" s="2214"/>
      <c r="Z29" s="2214"/>
      <c r="AA29" s="2214"/>
      <c r="AB29" s="2214"/>
      <c r="AC29" s="253"/>
      <c r="AD29" s="2214" t="str">
        <f>IF(TITLE_NAME_OR_PR_CHANGE="",IF(TITLE_NAME_OR_PR="","",TITLE_NAME_OR_PR),TITLE_NAME_OR_PR_CHANGE)</f>
        <v/>
      </c>
      <c r="AE29" s="2214"/>
      <c r="AF29" s="2214"/>
      <c r="AG29" s="2214"/>
      <c r="AH29" s="2214"/>
      <c r="AI29" s="2214"/>
      <c r="AJ29" s="2214"/>
      <c r="AK29" s="253"/>
      <c r="AL29" s="253"/>
      <c r="AM29" s="199"/>
      <c r="AN29" s="295"/>
      <c r="AO29" s="295"/>
      <c r="AP29" s="295"/>
      <c r="AQ29" s="295"/>
      <c r="AR29" s="295"/>
    </row>
    <row r="30" spans="1:44" s="1933" customFormat="1" ht="18.75" hidden="1" customHeight="1">
      <c r="A30" s="1247"/>
      <c r="B30" s="1247"/>
      <c r="C30" s="1247"/>
      <c r="D30" s="1247"/>
      <c r="E30" s="1247"/>
      <c r="F30" s="1247"/>
      <c r="G30" s="1247"/>
      <c r="H30" s="1247"/>
      <c r="I30" s="1247"/>
      <c r="J30" s="1247"/>
      <c r="K30" s="1247"/>
      <c r="L30" s="1248"/>
      <c r="M30" s="1247"/>
      <c r="N30" s="1247"/>
      <c r="O30" s="1247"/>
      <c r="S30" s="2213" t="s">
        <v>1486</v>
      </c>
      <c r="T30" s="2213"/>
      <c r="U30" s="1251"/>
      <c r="V30" s="2214" t="str">
        <f>IF(TITLE_DATE_CHANGE_PERIOD="",IF(TITLE_DATE_PR="","",TITLE_DATE_PR),TITLE_DATE_CHANGE_PERIOD)</f>
        <v/>
      </c>
      <c r="W30" s="2214"/>
      <c r="X30" s="2214"/>
      <c r="Y30" s="2214"/>
      <c r="Z30" s="2214"/>
      <c r="AA30" s="2214"/>
      <c r="AB30" s="2214"/>
      <c r="AC30" s="253"/>
      <c r="AD30" s="2214" t="str">
        <f>IF(TITLE_DATE_CHANGE_PERIOD="",IF(TITLE_DATE_PR="","",TITLE_DATE_PR),TITLE_DATE_CHANGE_PERIOD)</f>
        <v/>
      </c>
      <c r="AE30" s="2214"/>
      <c r="AF30" s="2214"/>
      <c r="AG30" s="2214"/>
      <c r="AH30" s="2214"/>
      <c r="AI30" s="2214"/>
      <c r="AJ30" s="2214"/>
      <c r="AK30" s="253"/>
      <c r="AL30" s="253"/>
      <c r="AM30" s="199"/>
      <c r="AN30" s="295"/>
      <c r="AO30" s="295"/>
      <c r="AP30" s="295"/>
      <c r="AQ30" s="295"/>
      <c r="AR30" s="295"/>
    </row>
    <row r="31" spans="1:44" s="1933" customFormat="1" ht="18.75" hidden="1" customHeight="1">
      <c r="A31" s="1247"/>
      <c r="B31" s="1247"/>
      <c r="C31" s="1247"/>
      <c r="D31" s="1247"/>
      <c r="E31" s="1247"/>
      <c r="F31" s="1247"/>
      <c r="G31" s="1247"/>
      <c r="H31" s="1247"/>
      <c r="I31" s="1247"/>
      <c r="J31" s="1247"/>
      <c r="K31" s="1247"/>
      <c r="L31" s="1248"/>
      <c r="M31" s="1247"/>
      <c r="N31" s="1247"/>
      <c r="O31" s="1247"/>
      <c r="S31" s="2213" t="s">
        <v>1487</v>
      </c>
      <c r="T31" s="2213"/>
      <c r="U31" s="1251"/>
      <c r="V31" s="2214" t="str">
        <f>IF(TITLE_NUMBER_PR_CHANGE="",IF(TITLE_NUMBER_PR="","",TITLE_NUMBER_PR),TITLE_NUMBER_PR_CHANGE)</f>
        <v/>
      </c>
      <c r="W31" s="2214"/>
      <c r="X31" s="2214"/>
      <c r="Y31" s="2214"/>
      <c r="Z31" s="2214"/>
      <c r="AA31" s="2214"/>
      <c r="AB31" s="2214"/>
      <c r="AC31" s="253"/>
      <c r="AD31" s="2214" t="str">
        <f>IF(TITLE_NUMBER_PR_CHANGE="",IF(TITLE_NUMBER_PR="","",TITLE_NUMBER_PR),TITLE_NUMBER_PR_CHANGE)</f>
        <v/>
      </c>
      <c r="AE31" s="2214"/>
      <c r="AF31" s="2214"/>
      <c r="AG31" s="2214"/>
      <c r="AH31" s="2214"/>
      <c r="AI31" s="2214"/>
      <c r="AJ31" s="2214"/>
      <c r="AK31" s="253"/>
      <c r="AL31" s="253"/>
      <c r="AM31" s="199"/>
      <c r="AN31" s="295"/>
      <c r="AO31" s="295"/>
      <c r="AP31" s="295"/>
      <c r="AQ31" s="295"/>
      <c r="AR31" s="295"/>
    </row>
    <row r="32" spans="1:44" s="1933" customFormat="1" ht="18.75" hidden="1" customHeight="1">
      <c r="A32" s="1247"/>
      <c r="B32" s="1247"/>
      <c r="C32" s="1247"/>
      <c r="D32" s="1247"/>
      <c r="E32" s="1247"/>
      <c r="F32" s="1247"/>
      <c r="G32" s="1247"/>
      <c r="H32" s="1247"/>
      <c r="I32" s="1247"/>
      <c r="J32" s="1247"/>
      <c r="K32" s="1247"/>
      <c r="L32" s="1248"/>
      <c r="M32" s="1247"/>
      <c r="N32" s="1247"/>
      <c r="O32" s="1247"/>
      <c r="S32" s="2213" t="s">
        <v>39</v>
      </c>
      <c r="T32" s="2213"/>
      <c r="U32" s="1251"/>
      <c r="V32" s="2214" t="str">
        <f>IF(TITLE_IST_PUB_CHANGE="",IF(TITLE_IST_PUB="","",TITLE_IST_PUB),TITLE_IST_PUB_CHANGE)</f>
        <v/>
      </c>
      <c r="W32" s="2214"/>
      <c r="X32" s="2214"/>
      <c r="Y32" s="2214"/>
      <c r="Z32" s="2214"/>
      <c r="AA32" s="2214"/>
      <c r="AB32" s="2214"/>
      <c r="AC32" s="253"/>
      <c r="AD32" s="2214" t="str">
        <f>IF(TITLE_IST_PUB_CHANGE="",IF(TITLE_IST_PUB="","",TITLE_IST_PUB),TITLE_IST_PUB_CHANGE)</f>
        <v/>
      </c>
      <c r="AE32" s="2214"/>
      <c r="AF32" s="2214"/>
      <c r="AG32" s="2214"/>
      <c r="AH32" s="2214"/>
      <c r="AI32" s="2214"/>
      <c r="AJ32" s="2214"/>
      <c r="AK32" s="253"/>
      <c r="AL32" s="253"/>
      <c r="AM32" s="199"/>
      <c r="AN32" s="295"/>
      <c r="AO32" s="295"/>
      <c r="AP32" s="295"/>
      <c r="AQ32" s="295"/>
      <c r="AR32" s="295"/>
    </row>
    <row r="33" spans="1:44" ht="14.25" hidden="1" customHeight="1">
      <c r="Q33" s="304"/>
      <c r="R33" s="304"/>
      <c r="S33" s="1156"/>
      <c r="T33" s="289"/>
      <c r="U33" s="289"/>
      <c r="V33" s="248"/>
      <c r="W33" s="248"/>
      <c r="X33" s="248"/>
      <c r="Y33" s="248"/>
      <c r="Z33" s="248"/>
      <c r="AA33" s="248"/>
      <c r="AB33" s="248"/>
      <c r="AC33" s="248"/>
      <c r="AD33" s="248"/>
      <c r="AE33" s="248"/>
      <c r="AF33" s="248"/>
      <c r="AG33" s="248"/>
      <c r="AH33" s="248"/>
      <c r="AI33" s="248"/>
      <c r="AJ33" s="248"/>
      <c r="AK33" s="248"/>
      <c r="AL33" s="437"/>
    </row>
    <row r="34" spans="1:44" s="1933" customFormat="1" ht="18.75" hidden="1" customHeight="1">
      <c r="A34" s="1247"/>
      <c r="B34" s="1247"/>
      <c r="C34" s="1247"/>
      <c r="D34" s="1247"/>
      <c r="E34" s="1247"/>
      <c r="F34" s="1247"/>
      <c r="G34" s="1247"/>
      <c r="H34" s="1247"/>
      <c r="I34" s="1247"/>
      <c r="J34" s="1247"/>
      <c r="K34" s="1247"/>
      <c r="L34" s="1248"/>
      <c r="M34" s="1247"/>
      <c r="N34" s="1247"/>
      <c r="O34" s="1247"/>
      <c r="S34" s="2213" t="s">
        <v>1488</v>
      </c>
      <c r="T34" s="2213"/>
      <c r="U34" s="1251"/>
      <c r="V34" s="2214" t="str">
        <f>IF(TITLE_DATE_CHANGE_PERIOD="",IF(TITLE_DATE_PR="","",TITLE_DATE_PR),TITLE_DATE_CHANGE_PERIOD)</f>
        <v/>
      </c>
      <c r="W34" s="2214"/>
      <c r="X34" s="2214"/>
      <c r="Y34" s="2214"/>
      <c r="Z34" s="2214"/>
      <c r="AA34" s="2214"/>
      <c r="AB34" s="2214"/>
      <c r="AC34" s="253"/>
      <c r="AD34" s="2214" t="str">
        <f>IF(TITLE_DATE_CHANGE_PERIOD="",IF(TITLE_DATE_PR="","",TITLE_DATE_PR),TITLE_DATE_CHANGE_PERIOD)</f>
        <v/>
      </c>
      <c r="AE34" s="2214"/>
      <c r="AF34" s="2214"/>
      <c r="AG34" s="2214"/>
      <c r="AH34" s="2214"/>
      <c r="AI34" s="2214"/>
      <c r="AJ34" s="2214"/>
      <c r="AK34" s="253"/>
      <c r="AL34" s="253"/>
      <c r="AM34" s="199"/>
      <c r="AN34" s="295"/>
      <c r="AO34" s="295"/>
      <c r="AP34" s="295"/>
      <c r="AQ34" s="295"/>
      <c r="AR34" s="295"/>
    </row>
    <row r="35" spans="1:44" s="1933" customFormat="1" ht="25.5" hidden="1" customHeight="1">
      <c r="A35" s="1247"/>
      <c r="B35" s="1247"/>
      <c r="C35" s="1247"/>
      <c r="D35" s="1247"/>
      <c r="E35" s="1247"/>
      <c r="F35" s="1247"/>
      <c r="G35" s="1247"/>
      <c r="H35" s="1247"/>
      <c r="I35" s="1247"/>
      <c r="J35" s="1247"/>
      <c r="K35" s="1247"/>
      <c r="L35" s="1248"/>
      <c r="M35" s="1247"/>
      <c r="N35" s="1247"/>
      <c r="O35" s="1247"/>
      <c r="S35" s="2213" t="s">
        <v>1489</v>
      </c>
      <c r="T35" s="2213"/>
      <c r="U35" s="1251"/>
      <c r="V35" s="2214" t="str">
        <f>IF(TITLE_NUMBER_PR_CHANGE="",IF(TITLE_NUMBER_PR="","",TITLE_NUMBER_PR),TITLE_NUMBER_PR_CHANGE)</f>
        <v/>
      </c>
      <c r="W35" s="2214"/>
      <c r="X35" s="2214"/>
      <c r="Y35" s="2214"/>
      <c r="Z35" s="2214"/>
      <c r="AA35" s="2214"/>
      <c r="AB35" s="2214"/>
      <c r="AC35" s="253"/>
      <c r="AD35" s="2214" t="str">
        <f>IF(TITLE_NUMBER_PR_CHANGE="",IF(TITLE_NUMBER_PR="","",TITLE_NUMBER_PR),TITLE_NUMBER_PR_CHANGE)</f>
        <v/>
      </c>
      <c r="AE35" s="2214"/>
      <c r="AF35" s="2214"/>
      <c r="AG35" s="2214"/>
      <c r="AH35" s="2214"/>
      <c r="AI35" s="2214"/>
      <c r="AJ35" s="2214"/>
      <c r="AK35" s="253"/>
      <c r="AL35" s="253"/>
      <c r="AM35" s="199"/>
      <c r="AN35" s="295"/>
      <c r="AO35" s="295"/>
      <c r="AP35" s="295"/>
      <c r="AQ35" s="295"/>
      <c r="AR35" s="295"/>
    </row>
    <row r="36" spans="1:44" s="1933" customFormat="1" ht="0" hidden="1" customHeight="1">
      <c r="A36" s="1247"/>
      <c r="B36" s="1247"/>
      <c r="C36" s="1247"/>
      <c r="D36" s="1247"/>
      <c r="E36" s="1247"/>
      <c r="F36" s="1247"/>
      <c r="G36" s="1247"/>
      <c r="H36" s="1247"/>
      <c r="I36" s="1247"/>
      <c r="J36" s="1247"/>
      <c r="K36" s="1247"/>
      <c r="L36" s="1248"/>
      <c r="M36" s="1247"/>
      <c r="N36" s="1247"/>
      <c r="O36" s="1247"/>
      <c r="S36" s="250"/>
      <c r="T36" s="250"/>
      <c r="U36" s="1223"/>
      <c r="V36" s="253"/>
      <c r="W36" s="253"/>
      <c r="X36" s="253"/>
      <c r="Y36" s="253"/>
      <c r="Z36" s="253"/>
      <c r="AA36" s="253"/>
      <c r="AB36" s="253"/>
      <c r="AC36" s="197" t="s">
        <v>1490</v>
      </c>
      <c r="AD36" s="253"/>
      <c r="AE36" s="253"/>
      <c r="AF36" s="253"/>
      <c r="AG36" s="253"/>
      <c r="AH36" s="253"/>
      <c r="AI36" s="253"/>
      <c r="AJ36" s="253"/>
      <c r="AK36" s="197" t="s">
        <v>1490</v>
      </c>
      <c r="AN36" s="295"/>
      <c r="AO36" s="295"/>
      <c r="AP36" s="295"/>
      <c r="AQ36" s="295"/>
      <c r="AR36" s="295"/>
    </row>
    <row r="37" spans="1:44" ht="14.25" customHeight="1">
      <c r="Q37" s="304"/>
      <c r="R37" s="304"/>
      <c r="S37" s="1156"/>
      <c r="T37" s="289"/>
      <c r="U37" s="1115"/>
      <c r="V37" s="2232"/>
      <c r="W37" s="2232"/>
      <c r="X37" s="2232"/>
      <c r="Y37" s="2232"/>
      <c r="Z37" s="2232"/>
      <c r="AA37" s="2232"/>
      <c r="AB37" s="2232"/>
      <c r="AC37" s="2232"/>
      <c r="AD37" s="2232"/>
      <c r="AE37" s="2232"/>
      <c r="AF37" s="2232"/>
      <c r="AG37" s="2232"/>
      <c r="AH37" s="2232"/>
      <c r="AI37" s="2232"/>
      <c r="AJ37" s="2232"/>
      <c r="AK37" s="2232"/>
    </row>
    <row r="38" spans="1:44" ht="14.25" customHeight="1">
      <c r="Q38" s="304"/>
      <c r="R38" s="304"/>
      <c r="S38" s="2007" t="s">
        <v>292</v>
      </c>
      <c r="T38" s="2007"/>
      <c r="U38" s="2007"/>
      <c r="V38" s="2007"/>
      <c r="W38" s="2007"/>
      <c r="X38" s="2007"/>
      <c r="Y38" s="2007"/>
      <c r="Z38" s="2007"/>
      <c r="AA38" s="2007"/>
      <c r="AB38" s="2007"/>
      <c r="AC38" s="2007"/>
      <c r="AD38" s="2007"/>
      <c r="AE38" s="2007"/>
      <c r="AF38" s="2007"/>
      <c r="AG38" s="2007"/>
      <c r="AH38" s="2007"/>
      <c r="AI38" s="2007"/>
      <c r="AJ38" s="2007"/>
      <c r="AK38" s="2007"/>
      <c r="AL38" s="2007"/>
      <c r="AM38" s="2007" t="s">
        <v>293</v>
      </c>
    </row>
    <row r="39" spans="1:44" ht="14.25" customHeight="1">
      <c r="Q39" s="304"/>
      <c r="R39" s="304"/>
      <c r="S39" s="2233" t="s">
        <v>87</v>
      </c>
      <c r="T39" s="2097" t="s">
        <v>1491</v>
      </c>
      <c r="U39" s="219"/>
      <c r="V39" s="2234" t="s">
        <v>1492</v>
      </c>
      <c r="W39" s="2235"/>
      <c r="X39" s="2235"/>
      <c r="Y39" s="2235"/>
      <c r="Z39" s="2235"/>
      <c r="AA39" s="2235"/>
      <c r="AB39" s="2236"/>
      <c r="AC39" s="2237" t="s">
        <v>1493</v>
      </c>
      <c r="AD39" s="2234" t="s">
        <v>1492</v>
      </c>
      <c r="AE39" s="2235"/>
      <c r="AF39" s="2235"/>
      <c r="AG39" s="2235"/>
      <c r="AH39" s="2235"/>
      <c r="AI39" s="2235"/>
      <c r="AJ39" s="2236"/>
      <c r="AK39" s="2237" t="s">
        <v>1494</v>
      </c>
      <c r="AL39" s="2240" t="s">
        <v>1495</v>
      </c>
      <c r="AM39" s="2007"/>
    </row>
    <row r="40" spans="1:44" ht="33.75" customHeight="1">
      <c r="Q40" s="304"/>
      <c r="R40" s="304"/>
      <c r="S40" s="2233"/>
      <c r="T40" s="2097"/>
      <c r="U40" s="924"/>
      <c r="V40" s="2066" t="s">
        <v>1496</v>
      </c>
      <c r="W40" s="2229"/>
      <c r="X40" s="1989" t="s">
        <v>1498</v>
      </c>
      <c r="Y40" s="1988"/>
      <c r="Z40" s="1989" t="s">
        <v>1499</v>
      </c>
      <c r="AA40" s="1994"/>
      <c r="AB40" s="1988"/>
      <c r="AC40" s="2238"/>
      <c r="AD40" s="2066" t="s">
        <v>1496</v>
      </c>
      <c r="AE40" s="2229"/>
      <c r="AF40" s="1989" t="s">
        <v>1498</v>
      </c>
      <c r="AG40" s="1988"/>
      <c r="AH40" s="1989" t="s">
        <v>1499</v>
      </c>
      <c r="AI40" s="1994"/>
      <c r="AJ40" s="1988"/>
      <c r="AK40" s="2238"/>
      <c r="AL40" s="2241"/>
      <c r="AM40" s="2007"/>
    </row>
    <row r="41" spans="1:44" ht="33.75" customHeight="1">
      <c r="A41" s="1249"/>
      <c r="B41" s="1249" t="s">
        <v>136</v>
      </c>
      <c r="C41" s="1249" t="s">
        <v>137</v>
      </c>
      <c r="D41" s="1249" t="s">
        <v>138</v>
      </c>
      <c r="E41" s="1243" t="s">
        <v>1500</v>
      </c>
      <c r="F41" s="1243" t="s">
        <v>1501</v>
      </c>
      <c r="G41" s="1243" t="s">
        <v>1502</v>
      </c>
      <c r="H41" s="1243" t="s">
        <v>1503</v>
      </c>
      <c r="I41" s="1243" t="s">
        <v>1504</v>
      </c>
      <c r="J41" s="1243" t="s">
        <v>1505</v>
      </c>
      <c r="K41" s="1243" t="s">
        <v>1506</v>
      </c>
      <c r="L41" s="1243" t="s">
        <v>1481</v>
      </c>
      <c r="Q41" s="304"/>
      <c r="R41" s="304"/>
      <c r="S41" s="2233"/>
      <c r="T41" s="2097"/>
      <c r="U41" s="220"/>
      <c r="V41" s="2122"/>
      <c r="W41" s="2230"/>
      <c r="X41" s="1090" t="s">
        <v>1507</v>
      </c>
      <c r="Y41" s="1090" t="s">
        <v>1508</v>
      </c>
      <c r="Z41" s="1221" t="s">
        <v>1509</v>
      </c>
      <c r="AA41" s="2103" t="s">
        <v>1510</v>
      </c>
      <c r="AB41" s="2117"/>
      <c r="AC41" s="2239"/>
      <c r="AD41" s="2122"/>
      <c r="AE41" s="2230"/>
      <c r="AF41" s="1090" t="s">
        <v>1507</v>
      </c>
      <c r="AG41" s="1090" t="s">
        <v>1508</v>
      </c>
      <c r="AH41" s="1221" t="s">
        <v>1509</v>
      </c>
      <c r="AI41" s="2103" t="s">
        <v>1510</v>
      </c>
      <c r="AJ41" s="2117"/>
      <c r="AK41" s="2239"/>
      <c r="AL41" s="2242"/>
      <c r="AM41" s="2007"/>
    </row>
    <row r="42" spans="1:44" s="1708" customFormat="1" ht="11.25" hidden="1" customHeight="1">
      <c r="A42" s="1249"/>
      <c r="B42" s="1249"/>
      <c r="C42" s="1249"/>
      <c r="D42" s="1249"/>
      <c r="E42" s="1249"/>
      <c r="F42" s="1249"/>
      <c r="G42" s="1249"/>
      <c r="H42" s="1249"/>
      <c r="I42" s="1249"/>
      <c r="J42" s="1249"/>
      <c r="K42" s="1249"/>
      <c r="L42" s="1243"/>
      <c r="M42" s="1241"/>
      <c r="N42" s="1241"/>
      <c r="O42" s="1241"/>
      <c r="P42" s="1117"/>
      <c r="Q42" s="1118"/>
      <c r="R42" s="1133">
        <v>1</v>
      </c>
      <c r="S42" s="1158" t="s">
        <v>108</v>
      </c>
      <c r="T42" s="1134" t="s">
        <v>109</v>
      </c>
      <c r="U42" s="1116" t="str">
        <f ca="1">OFFSET(U42,0,-1)</f>
        <v>2</v>
      </c>
      <c r="V42" s="1218">
        <f ca="1">OFFSET(V42,0,-1)+1</f>
        <v>3</v>
      </c>
      <c r="W42" s="1218"/>
      <c r="X42" s="1218">
        <f ca="1">OFFSET(X42,0,-1)+1</f>
        <v>1</v>
      </c>
      <c r="Y42" s="1218">
        <f ca="1">OFFSET(Y42,0,-1)+1</f>
        <v>2</v>
      </c>
      <c r="Z42" s="1218">
        <f ca="1">OFFSET(Z42,0,-1)+1</f>
        <v>3</v>
      </c>
      <c r="AA42" s="2231">
        <f ca="1">OFFSET(AA42,0,-1)+1</f>
        <v>4</v>
      </c>
      <c r="AB42" s="2231"/>
      <c r="AC42" s="1218">
        <f ca="1">OFFSET(AC42,0,-2)+1</f>
        <v>5</v>
      </c>
      <c r="AD42" s="1218">
        <f ca="1">OFFSET(AD42,0,-1)+1</f>
        <v>6</v>
      </c>
      <c r="AE42" s="1218"/>
      <c r="AF42" s="1218">
        <f ca="1">OFFSET(AF42,0,-1)+1</f>
        <v>1</v>
      </c>
      <c r="AG42" s="1218">
        <f ca="1">OFFSET(AG42,0,-1)+1</f>
        <v>2</v>
      </c>
      <c r="AH42" s="1218">
        <f ca="1">OFFSET(AH42,0,-1)+1</f>
        <v>3</v>
      </c>
      <c r="AI42" s="2231">
        <f ca="1">OFFSET(AI42,0,-1)+1</f>
        <v>4</v>
      </c>
      <c r="AJ42" s="2231"/>
      <c r="AK42" s="1218">
        <f ca="1">OFFSET(AK42,0,-2)+1</f>
        <v>5</v>
      </c>
      <c r="AL42" s="1116">
        <f ca="1">OFFSET(AL42,0,-1)</f>
        <v>5</v>
      </c>
      <c r="AM42" s="1218">
        <f ca="1">OFFSET(AM42,0,-1)+1</f>
        <v>6</v>
      </c>
      <c r="AN42" s="439"/>
      <c r="AO42" s="439"/>
      <c r="AP42" s="439"/>
      <c r="AQ42" s="439"/>
      <c r="AR42" s="439"/>
    </row>
    <row r="43" spans="1:44" ht="21" customHeight="1">
      <c r="A43" s="1242" t="s">
        <v>189</v>
      </c>
      <c r="B43" s="1242"/>
      <c r="C43" s="1242"/>
      <c r="D43" s="1242"/>
      <c r="E43" s="2221">
        <v>1</v>
      </c>
      <c r="F43" s="1242"/>
      <c r="G43" s="1242"/>
      <c r="H43" s="1242"/>
      <c r="I43" s="1242"/>
      <c r="J43" s="1242"/>
      <c r="K43" s="1242"/>
      <c r="L43" s="1243"/>
      <c r="M43" s="1244"/>
      <c r="N43" s="1244"/>
      <c r="O43" s="1244"/>
      <c r="P43" s="285"/>
      <c r="Q43" s="284"/>
      <c r="R43" s="279"/>
      <c r="S43" s="1219">
        <f>INDEX(PT_DIFFERENTIATION_NUM_NTAR,MATCH(A43,PT_DIFFERENTIATION_NTAR_ID,0))</f>
        <v>0</v>
      </c>
      <c r="T43" s="216" t="s">
        <v>124</v>
      </c>
      <c r="U43" s="218"/>
      <c r="V43" s="2215"/>
      <c r="W43" s="2216"/>
      <c r="X43" s="2216"/>
      <c r="Y43" s="2216"/>
      <c r="Z43" s="2216"/>
      <c r="AA43" s="2216"/>
      <c r="AB43" s="2216"/>
      <c r="AC43" s="2217"/>
      <c r="AD43" s="2215" t="str">
        <f>INDEX(PT_DIFFERENTIATION_NTAR,MATCH(A43,PT_DIFFERENTIATION_NTAR_ID,0))</f>
        <v/>
      </c>
      <c r="AE43" s="2216"/>
      <c r="AF43" s="2216"/>
      <c r="AG43" s="2216"/>
      <c r="AH43" s="2216"/>
      <c r="AI43" s="2216"/>
      <c r="AJ43" s="2216"/>
      <c r="AK43" s="2216"/>
      <c r="AL43" s="2217"/>
      <c r="AM43" s="1138" t="s">
        <v>1462</v>
      </c>
      <c r="AO43" s="428"/>
      <c r="AP43" s="428" t="str">
        <f t="shared" ref="AP43:AP57" si="1">IF(T43="","",T43)</f>
        <v>Наименование тарифа</v>
      </c>
      <c r="AQ43" s="428"/>
      <c r="AR43" s="428"/>
    </row>
    <row r="44" spans="1:44" ht="21" customHeight="1">
      <c r="A44" s="1242" t="s">
        <v>189</v>
      </c>
      <c r="B44" s="1242" t="s">
        <v>190</v>
      </c>
      <c r="C44" s="1242"/>
      <c r="D44" s="1242"/>
      <c r="E44" s="2222"/>
      <c r="F44" s="2221">
        <v>1</v>
      </c>
      <c r="G44" s="1242"/>
      <c r="H44" s="1242"/>
      <c r="I44" s="1242"/>
      <c r="J44" s="1242"/>
      <c r="K44" s="1242"/>
      <c r="L44" s="1243"/>
      <c r="M44" s="1244"/>
      <c r="N44" s="1244"/>
      <c r="O44" s="1244"/>
      <c r="P44" s="1215"/>
      <c r="Q44" s="276"/>
      <c r="R44" s="277"/>
      <c r="S44" s="1219" t="str">
        <f>INDEX(PT_DIFFERENTIATION_NUM_TER,MATCH(B44,PT_DIFFERENTIATION_TER_ID,0))</f>
        <v>.</v>
      </c>
      <c r="T44" s="228" t="s">
        <v>1463</v>
      </c>
      <c r="U44" s="218"/>
      <c r="V44" s="2215"/>
      <c r="W44" s="2216"/>
      <c r="X44" s="2216"/>
      <c r="Y44" s="2216"/>
      <c r="Z44" s="2216"/>
      <c r="AA44" s="2216"/>
      <c r="AB44" s="2216"/>
      <c r="AC44" s="2217"/>
      <c r="AD44" s="2215" t="str">
        <f>INDEX(PT_DIFFERENTIATION_TER,MATCH(B44,PT_DIFFERENTIATION_TER_ID,0))</f>
        <v/>
      </c>
      <c r="AE44" s="2216"/>
      <c r="AF44" s="2216"/>
      <c r="AG44" s="2216"/>
      <c r="AH44" s="2216"/>
      <c r="AI44" s="2216"/>
      <c r="AJ44" s="2216"/>
      <c r="AK44" s="2216"/>
      <c r="AL44" s="2217"/>
      <c r="AM44" s="1138" t="s">
        <v>1464</v>
      </c>
      <c r="AO44" s="428"/>
      <c r="AP44" s="428" t="str">
        <f t="shared" si="1"/>
        <v>Территория действия тарифа</v>
      </c>
      <c r="AQ44" s="428"/>
      <c r="AR44" s="428"/>
    </row>
    <row r="45" spans="1:44" ht="23.25" customHeight="1">
      <c r="A45" s="1242" t="s">
        <v>189</v>
      </c>
      <c r="B45" s="1242" t="s">
        <v>190</v>
      </c>
      <c r="C45" s="1242" t="s">
        <v>191</v>
      </c>
      <c r="D45" s="1242"/>
      <c r="E45" s="2222"/>
      <c r="F45" s="2222"/>
      <c r="G45" s="2221">
        <v>1</v>
      </c>
      <c r="H45" s="1242"/>
      <c r="I45" s="1242"/>
      <c r="J45" s="1242"/>
      <c r="K45" s="1242"/>
      <c r="L45" s="1243"/>
      <c r="M45" s="1244"/>
      <c r="N45" s="1244"/>
      <c r="O45" s="1244"/>
      <c r="P45" s="278"/>
      <c r="Q45" s="276"/>
      <c r="R45" s="277"/>
      <c r="S45" s="1219" t="str">
        <f>INDEX(PT_DIFFERENTIATION_NUM_CS,MATCH(C45,PT_DIFFERENTIATION_CS_ID,0))</f>
        <v>..</v>
      </c>
      <c r="T45" s="229" t="s">
        <v>1465</v>
      </c>
      <c r="U45" s="218"/>
      <c r="V45" s="2215"/>
      <c r="W45" s="2216"/>
      <c r="X45" s="2216"/>
      <c r="Y45" s="2216"/>
      <c r="Z45" s="2216"/>
      <c r="AA45" s="2216"/>
      <c r="AB45" s="2216"/>
      <c r="AC45" s="2217"/>
      <c r="AD45" s="2215" t="str">
        <f>INDEX(PT_DIFFERENTIATION_CS,MATCH(C45,PT_DIFFERENTIATION_CS_ID,0))</f>
        <v/>
      </c>
      <c r="AE45" s="2216"/>
      <c r="AF45" s="2216"/>
      <c r="AG45" s="2216"/>
      <c r="AH45" s="2216"/>
      <c r="AI45" s="2216"/>
      <c r="AJ45" s="2216"/>
      <c r="AK45" s="2216"/>
      <c r="AL45" s="2217"/>
      <c r="AM45" s="1138" t="s">
        <v>1466</v>
      </c>
      <c r="AO45" s="428"/>
      <c r="AP45" s="428" t="str">
        <f t="shared" si="1"/>
        <v xml:space="preserve">Наименование системы теплоснабжения </v>
      </c>
      <c r="AQ45" s="428"/>
      <c r="AR45" s="428"/>
    </row>
    <row r="46" spans="1:44" ht="21" customHeight="1">
      <c r="A46" s="1242" t="s">
        <v>189</v>
      </c>
      <c r="B46" s="1242" t="s">
        <v>190</v>
      </c>
      <c r="C46" s="1242" t="s">
        <v>191</v>
      </c>
      <c r="D46" s="1242" t="s">
        <v>192</v>
      </c>
      <c r="E46" s="2222"/>
      <c r="F46" s="2222"/>
      <c r="G46" s="2222"/>
      <c r="H46" s="2221">
        <v>1</v>
      </c>
      <c r="I46" s="1242"/>
      <c r="J46" s="1242"/>
      <c r="K46" s="1242"/>
      <c r="L46" s="1243"/>
      <c r="M46" s="1244"/>
      <c r="N46" s="1244"/>
      <c r="O46" s="1244"/>
      <c r="P46" s="278"/>
      <c r="Q46" s="276"/>
      <c r="R46" s="277"/>
      <c r="S46" s="1219" t="str">
        <f>INDEX(PT_DIFFERENTIATION_NUM_IST_TE,MATCH(D46,PT_DIFFERENTIATION_IST_TE_ID,0))</f>
        <v>...</v>
      </c>
      <c r="T46" s="230" t="s">
        <v>1467</v>
      </c>
      <c r="U46" s="218"/>
      <c r="V46" s="2215"/>
      <c r="W46" s="2216"/>
      <c r="X46" s="2216"/>
      <c r="Y46" s="2216"/>
      <c r="Z46" s="2216"/>
      <c r="AA46" s="2216"/>
      <c r="AB46" s="2216"/>
      <c r="AC46" s="2217"/>
      <c r="AD46" s="2215" t="str">
        <f>INDEX(PT_DIFFERENTIATION_IST_TE,MATCH(D46,PT_DIFFERENTIATION_IST_TE_ID,0))</f>
        <v/>
      </c>
      <c r="AE46" s="2216"/>
      <c r="AF46" s="2216"/>
      <c r="AG46" s="2216"/>
      <c r="AH46" s="2216"/>
      <c r="AI46" s="2216"/>
      <c r="AJ46" s="2216"/>
      <c r="AK46" s="2216"/>
      <c r="AL46" s="2217"/>
      <c r="AM46" s="1138" t="s">
        <v>1468</v>
      </c>
      <c r="AO46" s="428"/>
      <c r="AP46" s="428" t="str">
        <f t="shared" si="1"/>
        <v xml:space="preserve">Источник тепловой энергии  </v>
      </c>
      <c r="AQ46" s="428"/>
      <c r="AR46" s="428"/>
    </row>
    <row r="47" spans="1:44" s="1755" customFormat="1" ht="0" hidden="1" customHeight="1">
      <c r="A47" s="1226" t="s">
        <v>189</v>
      </c>
      <c r="B47" s="1226" t="s">
        <v>190</v>
      </c>
      <c r="C47" s="1226" t="s">
        <v>191</v>
      </c>
      <c r="D47" s="1226" t="s">
        <v>192</v>
      </c>
      <c r="E47" s="2222"/>
      <c r="F47" s="2222"/>
      <c r="G47" s="2222"/>
      <c r="H47" s="2222"/>
      <c r="I47" s="2223" t="str">
        <f>S46&amp;".1"</f>
        <v>....1</v>
      </c>
      <c r="J47" s="1226"/>
      <c r="K47" s="1226"/>
      <c r="L47" s="1229" t="s">
        <v>1469</v>
      </c>
      <c r="M47" s="438"/>
      <c r="N47" s="438"/>
      <c r="O47" s="438"/>
      <c r="P47" s="2143">
        <v>1</v>
      </c>
      <c r="Q47" s="1214"/>
      <c r="R47" s="280"/>
      <c r="S47" s="932"/>
      <c r="T47" s="1261"/>
      <c r="U47" s="1262"/>
      <c r="V47" s="2249"/>
      <c r="W47" s="2250"/>
      <c r="X47" s="2250"/>
      <c r="Y47" s="2250"/>
      <c r="Z47" s="2250"/>
      <c r="AA47" s="2250"/>
      <c r="AB47" s="2250"/>
      <c r="AC47" s="2251"/>
      <c r="AD47" s="2249"/>
      <c r="AE47" s="2250"/>
      <c r="AF47" s="2250"/>
      <c r="AG47" s="2250"/>
      <c r="AH47" s="2250"/>
      <c r="AI47" s="2250"/>
      <c r="AJ47" s="2250"/>
      <c r="AK47" s="2250"/>
      <c r="AL47" s="2251"/>
      <c r="AM47" s="1263"/>
      <c r="AO47" s="428"/>
      <c r="AP47" s="428" t="str">
        <f t="shared" si="1"/>
        <v/>
      </c>
      <c r="AQ47" s="428"/>
      <c r="AR47" s="428"/>
    </row>
    <row r="48" spans="1:44" ht="21" customHeight="1">
      <c r="A48" s="1242" t="s">
        <v>189</v>
      </c>
      <c r="B48" s="1242" t="s">
        <v>190</v>
      </c>
      <c r="C48" s="1242" t="s">
        <v>191</v>
      </c>
      <c r="D48" s="1242" t="s">
        <v>192</v>
      </c>
      <c r="E48" s="2222"/>
      <c r="F48" s="2222"/>
      <c r="G48" s="2222"/>
      <c r="H48" s="2222"/>
      <c r="I48" s="2224"/>
      <c r="J48" s="2223" t="str">
        <f>S46&amp;".1"</f>
        <v>....1</v>
      </c>
      <c r="K48" s="1242"/>
      <c r="L48" s="1243" t="s">
        <v>1472</v>
      </c>
      <c r="P48" s="2143"/>
      <c r="Q48" s="2143">
        <v>1</v>
      </c>
      <c r="R48" s="281"/>
      <c r="S48" s="1219" t="str">
        <f>$J48</f>
        <v>....1</v>
      </c>
      <c r="T48" s="204" t="s">
        <v>1473</v>
      </c>
      <c r="U48" s="218"/>
      <c r="V48" s="2210"/>
      <c r="W48" s="2211"/>
      <c r="X48" s="2211"/>
      <c r="Y48" s="2211"/>
      <c r="Z48" s="2211"/>
      <c r="AA48" s="2211"/>
      <c r="AB48" s="2211"/>
      <c r="AC48" s="2212"/>
      <c r="AD48" s="2210"/>
      <c r="AE48" s="2211"/>
      <c r="AF48" s="2211"/>
      <c r="AG48" s="2211"/>
      <c r="AH48" s="2211"/>
      <c r="AI48" s="2211"/>
      <c r="AJ48" s="2211"/>
      <c r="AK48" s="2211"/>
      <c r="AL48" s="2212"/>
      <c r="AM48" s="1138" t="s">
        <v>1474</v>
      </c>
      <c r="AO48" s="428"/>
      <c r="AP48" s="428" t="str">
        <f t="shared" si="1"/>
        <v>Группа потребителей</v>
      </c>
      <c r="AQ48" s="428"/>
      <c r="AR48" s="428"/>
    </row>
    <row r="49" spans="1:44" ht="21" customHeight="1">
      <c r="A49" s="1242" t="s">
        <v>189</v>
      </c>
      <c r="B49" s="1242" t="s">
        <v>190</v>
      </c>
      <c r="C49" s="1242" t="s">
        <v>191</v>
      </c>
      <c r="D49" s="1242" t="s">
        <v>192</v>
      </c>
      <c r="E49" s="2222"/>
      <c r="F49" s="2222"/>
      <c r="G49" s="2222"/>
      <c r="H49" s="2222"/>
      <c r="I49" s="2224"/>
      <c r="J49" s="2224"/>
      <c r="K49" s="2223" t="str">
        <f>J48&amp;".1"</f>
        <v>....1.1</v>
      </c>
      <c r="L49" s="1243" t="s">
        <v>1475</v>
      </c>
      <c r="P49" s="2143"/>
      <c r="Q49" s="2143"/>
      <c r="R49" s="281">
        <v>1</v>
      </c>
      <c r="S49" s="1219" t="str">
        <f>$K49</f>
        <v>....1.1</v>
      </c>
      <c r="T49" s="1230"/>
      <c r="U49" s="218"/>
      <c r="V49" s="1664"/>
      <c r="W49" s="1665"/>
      <c r="X49" s="1664"/>
      <c r="Y49" s="1666"/>
      <c r="Z49" s="2225"/>
      <c r="AA49" s="2017" t="s">
        <v>62</v>
      </c>
      <c r="AB49" s="2225"/>
      <c r="AC49" s="2017" t="s">
        <v>62</v>
      </c>
      <c r="AD49" s="1664"/>
      <c r="AE49" s="1665"/>
      <c r="AF49" s="1664"/>
      <c r="AG49" s="1666"/>
      <c r="AH49" s="2225"/>
      <c r="AI49" s="2017" t="s">
        <v>62</v>
      </c>
      <c r="AJ49" s="2227"/>
      <c r="AK49" s="2017" t="s">
        <v>62</v>
      </c>
      <c r="AL49" s="1672"/>
      <c r="AM49" s="2243" t="s">
        <v>1519</v>
      </c>
      <c r="AN49" s="439" t="e">
        <f ca="1">STRCHECKDATE(V50:AL50)</f>
        <v>#NAME?</v>
      </c>
      <c r="AO49" s="428"/>
      <c r="AP49" s="428" t="str">
        <f t="shared" si="1"/>
        <v/>
      </c>
      <c r="AQ49" s="428"/>
      <c r="AR49" s="428"/>
    </row>
    <row r="50" spans="1:44" ht="0.75" customHeight="1">
      <c r="A50" s="1242" t="s">
        <v>189</v>
      </c>
      <c r="B50" s="1242" t="s">
        <v>190</v>
      </c>
      <c r="C50" s="1242" t="s">
        <v>191</v>
      </c>
      <c r="D50" s="1242" t="s">
        <v>192</v>
      </c>
      <c r="E50" s="2222"/>
      <c r="F50" s="2222"/>
      <c r="G50" s="2222"/>
      <c r="H50" s="2222"/>
      <c r="I50" s="2224"/>
      <c r="J50" s="2224"/>
      <c r="K50" s="2223"/>
      <c r="L50" s="1243"/>
      <c r="P50" s="2143"/>
      <c r="Q50" s="2143"/>
      <c r="R50" s="281"/>
      <c r="S50" s="1225"/>
      <c r="T50" s="218"/>
      <c r="U50" s="218"/>
      <c r="V50" s="1665"/>
      <c r="W50" s="1665"/>
      <c r="X50" s="1665"/>
      <c r="Y50" s="1667" t="str">
        <f>Z49&amp;"-"&amp;AB49</f>
        <v>-</v>
      </c>
      <c r="Z50" s="2226"/>
      <c r="AA50" s="2017"/>
      <c r="AB50" s="2226"/>
      <c r="AC50" s="2017"/>
      <c r="AD50" s="1665"/>
      <c r="AE50" s="1665"/>
      <c r="AF50" s="1665"/>
      <c r="AG50" s="1667" t="str">
        <f>AH49&amp;"-"&amp;AJ49</f>
        <v>-</v>
      </c>
      <c r="AH50" s="2226"/>
      <c r="AI50" s="2017"/>
      <c r="AJ50" s="2228"/>
      <c r="AK50" s="2017"/>
      <c r="AL50" s="1673"/>
      <c r="AM50" s="2244"/>
      <c r="AO50" s="428"/>
      <c r="AP50" s="428" t="str">
        <f t="shared" si="1"/>
        <v/>
      </c>
      <c r="AQ50" s="428"/>
      <c r="AR50" s="428"/>
    </row>
    <row r="51" spans="1:44" ht="11.25" customHeight="1">
      <c r="A51" s="1242" t="s">
        <v>189</v>
      </c>
      <c r="B51" s="1242" t="s">
        <v>190</v>
      </c>
      <c r="C51" s="1242" t="s">
        <v>191</v>
      </c>
      <c r="D51" s="1242" t="s">
        <v>192</v>
      </c>
      <c r="E51" s="2222"/>
      <c r="F51" s="2222"/>
      <c r="G51" s="2222"/>
      <c r="H51" s="2222"/>
      <c r="I51" s="2224"/>
      <c r="J51" s="2223"/>
      <c r="K51" s="1242"/>
      <c r="L51" s="1243"/>
      <c r="P51" s="2143"/>
      <c r="Q51" s="2143"/>
      <c r="R51" s="280"/>
      <c r="S51" s="1159"/>
      <c r="T51" s="205" t="s">
        <v>1477</v>
      </c>
      <c r="U51" s="294"/>
      <c r="V51" s="294"/>
      <c r="W51" s="294"/>
      <c r="X51" s="294"/>
      <c r="Y51" s="294"/>
      <c r="Z51" s="294"/>
      <c r="AA51" s="294"/>
      <c r="AB51" s="294"/>
      <c r="AC51" s="294"/>
      <c r="AD51" s="294"/>
      <c r="AE51" s="294"/>
      <c r="AF51" s="294"/>
      <c r="AG51" s="294"/>
      <c r="AH51" s="294"/>
      <c r="AI51" s="294"/>
      <c r="AJ51" s="294"/>
      <c r="AK51" s="294"/>
      <c r="AL51" s="251"/>
      <c r="AM51" s="2245"/>
      <c r="AO51" s="428"/>
      <c r="AP51" s="428" t="str">
        <f t="shared" si="1"/>
        <v>Добавить вид теплоносителя (параметры теплоносителя)</v>
      </c>
      <c r="AQ51" s="428"/>
      <c r="AR51" s="428"/>
    </row>
    <row r="52" spans="1:44" ht="11.25" customHeight="1">
      <c r="A52" s="1242" t="s">
        <v>189</v>
      </c>
      <c r="B52" s="1242" t="s">
        <v>190</v>
      </c>
      <c r="C52" s="1242" t="s">
        <v>191</v>
      </c>
      <c r="D52" s="1242" t="s">
        <v>192</v>
      </c>
      <c r="E52" s="2222"/>
      <c r="F52" s="2222"/>
      <c r="G52" s="2222"/>
      <c r="H52" s="2222"/>
      <c r="I52" s="2223"/>
      <c r="J52" s="1242"/>
      <c r="K52" s="1242"/>
      <c r="L52" s="1243"/>
      <c r="P52" s="2143"/>
      <c r="Q52" s="1214"/>
      <c r="R52" s="280"/>
      <c r="S52" s="1159"/>
      <c r="T52" s="291" t="s">
        <v>1478</v>
      </c>
      <c r="U52" s="294"/>
      <c r="V52" s="294"/>
      <c r="W52" s="294"/>
      <c r="X52" s="294"/>
      <c r="Y52" s="294"/>
      <c r="Z52" s="294"/>
      <c r="AA52" s="294"/>
      <c r="AB52" s="294"/>
      <c r="AC52" s="293"/>
      <c r="AD52" s="294"/>
      <c r="AE52" s="294"/>
      <c r="AF52" s="294"/>
      <c r="AG52" s="294"/>
      <c r="AH52" s="294"/>
      <c r="AI52" s="294"/>
      <c r="AJ52" s="294"/>
      <c r="AK52" s="293"/>
      <c r="AL52" s="294"/>
      <c r="AM52" s="221"/>
      <c r="AO52" s="428"/>
      <c r="AP52" s="428" t="str">
        <f t="shared" si="1"/>
        <v>Добавить группу потребителей</v>
      </c>
      <c r="AQ52" s="428"/>
      <c r="AR52" s="428"/>
    </row>
    <row r="53" spans="1:44" ht="0" hidden="1" customHeight="1">
      <c r="A53" s="1242" t="s">
        <v>189</v>
      </c>
      <c r="B53" s="1242" t="s">
        <v>190</v>
      </c>
      <c r="C53" s="1242" t="s">
        <v>191</v>
      </c>
      <c r="D53" s="1242" t="s">
        <v>192</v>
      </c>
      <c r="E53" s="2222"/>
      <c r="F53" s="2222"/>
      <c r="G53" s="2222"/>
      <c r="H53" s="2221"/>
      <c r="I53" s="1242"/>
      <c r="J53" s="1242"/>
      <c r="K53" s="1242"/>
      <c r="L53" s="1243"/>
      <c r="M53" s="1244"/>
      <c r="N53" s="1244"/>
      <c r="O53" s="464"/>
      <c r="P53" s="284"/>
      <c r="Q53" s="303"/>
      <c r="R53" s="279"/>
      <c r="S53" s="1264"/>
      <c r="T53" s="1265"/>
      <c r="U53" s="1266"/>
      <c r="V53" s="1266"/>
      <c r="W53" s="1266"/>
      <c r="X53" s="1266"/>
      <c r="Y53" s="1266"/>
      <c r="Z53" s="1266"/>
      <c r="AA53" s="1266"/>
      <c r="AB53" s="1266"/>
      <c r="AC53" s="1266"/>
      <c r="AD53" s="1266"/>
      <c r="AE53" s="1266"/>
      <c r="AF53" s="1266"/>
      <c r="AG53" s="1266"/>
      <c r="AH53" s="1266"/>
      <c r="AI53" s="1266"/>
      <c r="AJ53" s="1266"/>
      <c r="AK53" s="1266"/>
      <c r="AL53" s="1266"/>
      <c r="AM53" s="1267"/>
      <c r="AO53" s="428"/>
      <c r="AP53" s="428" t="str">
        <f t="shared" si="1"/>
        <v/>
      </c>
      <c r="AQ53" s="428"/>
      <c r="AR53" s="428"/>
    </row>
    <row r="54" spans="1:44" s="1755" customFormat="1" ht="0.75" customHeight="1">
      <c r="A54" s="1226" t="s">
        <v>189</v>
      </c>
      <c r="B54" s="1226" t="s">
        <v>190</v>
      </c>
      <c r="C54" s="1226" t="s">
        <v>191</v>
      </c>
      <c r="D54" s="1198"/>
      <c r="E54" s="2222"/>
      <c r="F54" s="2222"/>
      <c r="G54" s="2221"/>
      <c r="H54" s="1198"/>
      <c r="I54" s="1198"/>
      <c r="J54" s="1198"/>
      <c r="K54" s="1198"/>
      <c r="L54" s="1222"/>
      <c r="M54" s="1199"/>
      <c r="N54" s="1199"/>
      <c r="P54" s="1200"/>
      <c r="Q54" s="1201"/>
      <c r="R54" s="1200"/>
      <c r="S54" s="1206"/>
      <c r="T54" s="1209" t="s">
        <v>1438</v>
      </c>
      <c r="U54" s="1208"/>
      <c r="V54" s="1208"/>
      <c r="W54" s="1208"/>
      <c r="X54" s="1208"/>
      <c r="Y54" s="1208"/>
      <c r="Z54" s="1208"/>
      <c r="AA54" s="1208"/>
      <c r="AB54" s="1208"/>
      <c r="AC54" s="1208"/>
      <c r="AD54" s="1208"/>
      <c r="AE54" s="1208"/>
      <c r="AF54" s="1208"/>
      <c r="AG54" s="1208"/>
      <c r="AH54" s="1208"/>
      <c r="AI54" s="1208"/>
      <c r="AJ54" s="1208"/>
      <c r="AK54" s="1208"/>
      <c r="AL54" s="1208"/>
      <c r="AM54" s="1208"/>
      <c r="AO54" s="695"/>
      <c r="AP54" s="695" t="str">
        <f t="shared" si="1"/>
        <v>Добавить источник для дифференциации</v>
      </c>
      <c r="AQ54" s="695"/>
      <c r="AR54" s="695"/>
    </row>
    <row r="55" spans="1:44" s="1755" customFormat="1" ht="0.75" customHeight="1">
      <c r="A55" s="1226" t="s">
        <v>189</v>
      </c>
      <c r="B55" s="1226" t="s">
        <v>190</v>
      </c>
      <c r="C55" s="1198"/>
      <c r="D55" s="1198"/>
      <c r="E55" s="2222"/>
      <c r="F55" s="2221"/>
      <c r="G55" s="1198"/>
      <c r="H55" s="1198"/>
      <c r="I55" s="1198"/>
      <c r="J55" s="1198"/>
      <c r="K55" s="1198"/>
      <c r="L55" s="1222"/>
      <c r="M55" s="1205"/>
      <c r="N55" s="1205"/>
      <c r="P55" s="1200"/>
      <c r="Q55" s="1201"/>
      <c r="R55" s="1200"/>
      <c r="S55" s="1206"/>
      <c r="T55" s="1209" t="s">
        <v>1439</v>
      </c>
      <c r="U55" s="1208"/>
      <c r="V55" s="1208"/>
      <c r="W55" s="1208"/>
      <c r="X55" s="1208"/>
      <c r="Y55" s="1208"/>
      <c r="Z55" s="1208"/>
      <c r="AA55" s="1208"/>
      <c r="AB55" s="1208"/>
      <c r="AC55" s="1208"/>
      <c r="AD55" s="1208"/>
      <c r="AE55" s="1208"/>
      <c r="AF55" s="1208"/>
      <c r="AG55" s="1208"/>
      <c r="AH55" s="1208"/>
      <c r="AI55" s="1208"/>
      <c r="AJ55" s="1208"/>
      <c r="AK55" s="1208"/>
      <c r="AL55" s="1208"/>
      <c r="AM55" s="1208"/>
      <c r="AO55" s="695"/>
      <c r="AP55" s="695" t="str">
        <f t="shared" si="1"/>
        <v>Добавить централизованную систему для дифференциации</v>
      </c>
      <c r="AQ55" s="695"/>
      <c r="AR55" s="695"/>
    </row>
    <row r="56" spans="1:44" s="1755" customFormat="1" ht="0.75" customHeight="1">
      <c r="A56" s="1226" t="s">
        <v>189</v>
      </c>
      <c r="B56" s="1226"/>
      <c r="C56" s="1226"/>
      <c r="D56" s="1226"/>
      <c r="E56" s="2221"/>
      <c r="F56" s="1226"/>
      <c r="G56" s="1226"/>
      <c r="H56" s="1226"/>
      <c r="I56" s="1226"/>
      <c r="J56" s="1226"/>
      <c r="K56" s="1226"/>
      <c r="L56" s="1229"/>
      <c r="M56" s="1205"/>
      <c r="N56" s="1205"/>
      <c r="O56" s="446"/>
      <c r="P56" s="311"/>
      <c r="Q56" s="1227"/>
      <c r="R56" s="311"/>
      <c r="S56" s="1206"/>
      <c r="T56" s="1209" t="s">
        <v>1440</v>
      </c>
      <c r="U56" s="1208"/>
      <c r="V56" s="1208"/>
      <c r="W56" s="1208"/>
      <c r="X56" s="1208"/>
      <c r="Y56" s="1208"/>
      <c r="Z56" s="1208"/>
      <c r="AA56" s="1208"/>
      <c r="AB56" s="1208"/>
      <c r="AC56" s="1208"/>
      <c r="AD56" s="1208"/>
      <c r="AE56" s="1208"/>
      <c r="AF56" s="1208"/>
      <c r="AG56" s="1208"/>
      <c r="AH56" s="1208"/>
      <c r="AI56" s="1208"/>
      <c r="AJ56" s="1208"/>
      <c r="AK56" s="1208"/>
      <c r="AL56" s="1208"/>
      <c r="AM56" s="1208"/>
      <c r="AO56" s="428"/>
      <c r="AP56" s="428" t="str">
        <f t="shared" si="1"/>
        <v>Добавить территорию для дифференциации</v>
      </c>
      <c r="AQ56" s="428"/>
      <c r="AR56" s="428"/>
    </row>
    <row r="57" spans="1:44" s="1755" customFormat="1" ht="0.75" customHeight="1">
      <c r="A57" s="1198"/>
      <c r="B57" s="1198"/>
      <c r="C57" s="1198"/>
      <c r="D57" s="1198"/>
      <c r="E57" s="1226"/>
      <c r="F57" s="1198"/>
      <c r="G57" s="1198"/>
      <c r="H57" s="1198"/>
      <c r="I57" s="1198"/>
      <c r="J57" s="1198"/>
      <c r="K57" s="1198"/>
      <c r="L57" s="1222"/>
      <c r="M57" s="1205"/>
      <c r="N57" s="1205"/>
      <c r="P57" s="1200"/>
      <c r="Q57" s="1201"/>
      <c r="R57" s="1200"/>
      <c r="S57" s="1206"/>
      <c r="T57" s="1209" t="s">
        <v>1441</v>
      </c>
      <c r="U57" s="1208"/>
      <c r="V57" s="1208"/>
      <c r="W57" s="1208"/>
      <c r="X57" s="1208"/>
      <c r="Y57" s="1208"/>
      <c r="Z57" s="1208"/>
      <c r="AA57" s="1208"/>
      <c r="AB57" s="1208"/>
      <c r="AC57" s="1208"/>
      <c r="AD57" s="1208"/>
      <c r="AE57" s="1208"/>
      <c r="AF57" s="1208"/>
      <c r="AG57" s="1208"/>
      <c r="AH57" s="1208"/>
      <c r="AI57" s="1208"/>
      <c r="AJ57" s="1208"/>
      <c r="AK57" s="1208"/>
      <c r="AL57" s="1208"/>
      <c r="AM57" s="1208"/>
      <c r="AO57" s="695"/>
      <c r="AP57" s="695" t="str">
        <f t="shared" si="1"/>
        <v>Добавить наименование тарифа</v>
      </c>
      <c r="AQ57" s="695"/>
      <c r="AR57" s="695"/>
    </row>
    <row r="58" spans="1:44" ht="11.25" hidden="1" customHeight="1">
      <c r="M58" s="1034"/>
      <c r="N58" s="1034"/>
      <c r="O58" s="464"/>
      <c r="P58" s="1029"/>
      <c r="Q58" s="1029"/>
      <c r="R58" s="1029"/>
      <c r="S58" s="1029"/>
      <c r="AN58" s="1029"/>
      <c r="AO58" s="1029"/>
      <c r="AP58" s="1029"/>
      <c r="AQ58" s="1029"/>
      <c r="AR58" s="1029"/>
    </row>
    <row r="59" spans="1:44" ht="18.75" hidden="1" customHeight="1">
      <c r="O59" s="464"/>
      <c r="S59" s="1126" t="s">
        <v>1511</v>
      </c>
      <c r="T59" s="2220" t="s">
        <v>1520</v>
      </c>
      <c r="U59" s="2220"/>
      <c r="V59" s="2220"/>
      <c r="W59" s="2220"/>
      <c r="X59" s="2220"/>
      <c r="Y59" s="2220"/>
      <c r="Z59" s="2220"/>
      <c r="AA59" s="2220"/>
      <c r="AB59" s="2220"/>
      <c r="AC59" s="2220"/>
      <c r="AD59" s="2220"/>
      <c r="AE59" s="2220"/>
      <c r="AF59" s="2220"/>
      <c r="AG59" s="2220"/>
      <c r="AH59" s="2220"/>
      <c r="AI59" s="2220"/>
      <c r="AJ59" s="2220"/>
      <c r="AK59" s="2220"/>
      <c r="AL59" s="2220"/>
      <c r="AM59" s="2220"/>
    </row>
    <row r="60" spans="1:44" ht="27.75" hidden="1" customHeight="1">
      <c r="O60" s="464"/>
      <c r="T60" s="2220" t="s">
        <v>1521</v>
      </c>
      <c r="U60" s="2220"/>
      <c r="V60" s="2220"/>
      <c r="W60" s="2220"/>
      <c r="X60" s="2220"/>
      <c r="Y60" s="2220"/>
      <c r="Z60" s="2220"/>
      <c r="AA60" s="2220"/>
      <c r="AB60" s="2220"/>
      <c r="AC60" s="2220"/>
      <c r="AD60" s="2220"/>
      <c r="AE60" s="2220"/>
      <c r="AF60" s="2220"/>
      <c r="AG60" s="2220"/>
      <c r="AH60" s="2220"/>
      <c r="AI60" s="2220"/>
      <c r="AJ60" s="2220"/>
      <c r="AK60" s="2220"/>
      <c r="AL60" s="2220"/>
      <c r="AM60" s="2220"/>
    </row>
    <row r="61" spans="1:44" ht="36.75" hidden="1" customHeight="1">
      <c r="O61" s="464"/>
      <c r="T61" s="2220" t="s">
        <v>1522</v>
      </c>
      <c r="U61" s="2220"/>
      <c r="V61" s="2220"/>
      <c r="W61" s="2220"/>
      <c r="X61" s="2220"/>
      <c r="Y61" s="2220"/>
      <c r="Z61" s="2220"/>
      <c r="AA61" s="2220"/>
      <c r="AB61" s="2220"/>
      <c r="AC61" s="2220"/>
      <c r="AD61" s="2220"/>
      <c r="AE61" s="2220"/>
      <c r="AF61" s="2220"/>
      <c r="AG61" s="2220"/>
      <c r="AH61" s="2220"/>
      <c r="AI61" s="2220"/>
      <c r="AJ61" s="2220"/>
      <c r="AK61" s="2220"/>
      <c r="AL61" s="2220"/>
      <c r="AM61" s="2220"/>
    </row>
    <row r="62" spans="1:44" ht="14.25" hidden="1" customHeight="1">
      <c r="O62" s="464"/>
    </row>
    <row r="63" spans="1:44" ht="19.5" hidden="1" customHeight="1">
      <c r="O63" s="464"/>
      <c r="S63" s="1126" t="s">
        <v>1511</v>
      </c>
      <c r="T63" s="2049" t="s">
        <v>1514</v>
      </c>
      <c r="U63" s="2220"/>
      <c r="V63" s="2220"/>
      <c r="W63" s="2220"/>
      <c r="X63" s="2220"/>
      <c r="Y63" s="2220"/>
      <c r="Z63" s="2220"/>
      <c r="AA63" s="2220"/>
      <c r="AB63" s="2220"/>
      <c r="AC63" s="2220"/>
      <c r="AD63" s="2220"/>
      <c r="AE63" s="2220"/>
      <c r="AF63" s="2220"/>
      <c r="AG63" s="2220"/>
      <c r="AH63" s="2220"/>
      <c r="AI63" s="2220"/>
      <c r="AJ63" s="2220"/>
      <c r="AK63" s="2220"/>
      <c r="AL63" s="2220"/>
      <c r="AM63" s="2220"/>
    </row>
    <row r="64" spans="1:44" ht="27.75" hidden="1" customHeight="1">
      <c r="O64" s="464"/>
      <c r="T64" s="2220" t="s">
        <v>1523</v>
      </c>
      <c r="U64" s="2220"/>
      <c r="V64" s="2220"/>
      <c r="W64" s="2220"/>
      <c r="X64" s="2220"/>
      <c r="Y64" s="2220"/>
      <c r="Z64" s="2220"/>
      <c r="AA64" s="2220"/>
      <c r="AB64" s="2220"/>
      <c r="AC64" s="2220"/>
      <c r="AD64" s="2220"/>
      <c r="AE64" s="2220"/>
      <c r="AF64" s="2220"/>
      <c r="AG64" s="2220"/>
      <c r="AH64" s="2220"/>
      <c r="AI64" s="2220"/>
      <c r="AJ64" s="2220"/>
      <c r="AK64" s="2220"/>
      <c r="AL64" s="2220"/>
      <c r="AM64" s="2220"/>
    </row>
    <row r="65" spans="20:39" ht="33.75" hidden="1" customHeight="1">
      <c r="T65" s="2220" t="s">
        <v>1524</v>
      </c>
      <c r="U65" s="2220"/>
      <c r="V65" s="2220"/>
      <c r="W65" s="2220"/>
      <c r="X65" s="2220"/>
      <c r="Y65" s="2220"/>
      <c r="Z65" s="2220"/>
      <c r="AA65" s="2220"/>
      <c r="AB65" s="2220"/>
      <c r="AC65" s="2220"/>
      <c r="AD65" s="2220"/>
      <c r="AE65" s="2220"/>
      <c r="AF65" s="2220"/>
      <c r="AG65" s="2220"/>
      <c r="AH65" s="2220"/>
      <c r="AI65" s="2220"/>
      <c r="AJ65" s="2220"/>
      <c r="AK65" s="2220"/>
      <c r="AL65" s="2220"/>
      <c r="AM65" s="2220"/>
    </row>
  </sheetData>
  <sheetProtection formatColumns="0" formatRows="0" insertRows="0" deleteColumns="0" deleteRows="0" sort="0" autoFilter="0"/>
  <mergeCells count="113">
    <mergeCell ref="S26:AJ26"/>
    <mergeCell ref="E2:E15"/>
    <mergeCell ref="V2:AC2"/>
    <mergeCell ref="AD2:AL2"/>
    <mergeCell ref="F3:F14"/>
    <mergeCell ref="V3:AC3"/>
    <mergeCell ref="AD3:AL3"/>
    <mergeCell ref="G4:G13"/>
    <mergeCell ref="V4:AC4"/>
    <mergeCell ref="AD4:AL4"/>
    <mergeCell ref="H5:H12"/>
    <mergeCell ref="V5:AC5"/>
    <mergeCell ref="AD5:AL5"/>
    <mergeCell ref="I6:I11"/>
    <mergeCell ref="P6:P11"/>
    <mergeCell ref="V6:AC6"/>
    <mergeCell ref="AD6:AL6"/>
    <mergeCell ref="AM8:AM10"/>
    <mergeCell ref="AH17:AH18"/>
    <mergeCell ref="AI17:AI18"/>
    <mergeCell ref="AJ17:AJ18"/>
    <mergeCell ref="AK17:AK18"/>
    <mergeCell ref="J7:J10"/>
    <mergeCell ref="Q7:Q10"/>
    <mergeCell ref="V7:AC7"/>
    <mergeCell ref="AD7:AL7"/>
    <mergeCell ref="K8:K9"/>
    <mergeCell ref="Z8:Z9"/>
    <mergeCell ref="AA8:AA9"/>
    <mergeCell ref="AB8:AB9"/>
    <mergeCell ref="AC8:AC9"/>
    <mergeCell ref="AH8:AH9"/>
    <mergeCell ref="AI8:AI9"/>
    <mergeCell ref="AJ8:AJ9"/>
    <mergeCell ref="AK8:AK9"/>
    <mergeCell ref="S31:T31"/>
    <mergeCell ref="V31:AB31"/>
    <mergeCell ref="AD31:AJ31"/>
    <mergeCell ref="S32:T32"/>
    <mergeCell ref="V32:AB32"/>
    <mergeCell ref="AD32:AJ32"/>
    <mergeCell ref="S27:AJ27"/>
    <mergeCell ref="S29:T29"/>
    <mergeCell ref="V29:AB29"/>
    <mergeCell ref="AD29:AJ29"/>
    <mergeCell ref="S30:T30"/>
    <mergeCell ref="V30:AB30"/>
    <mergeCell ref="AD30:AJ30"/>
    <mergeCell ref="S38:AL38"/>
    <mergeCell ref="AM38:AM41"/>
    <mergeCell ref="S39:S41"/>
    <mergeCell ref="T39:T41"/>
    <mergeCell ref="V39:AB39"/>
    <mergeCell ref="AC39:AC41"/>
    <mergeCell ref="AD39:AJ39"/>
    <mergeCell ref="AK39:AK41"/>
    <mergeCell ref="AL39:AL41"/>
    <mergeCell ref="V40:V41"/>
    <mergeCell ref="W40:W41"/>
    <mergeCell ref="X40:Y40"/>
    <mergeCell ref="Z40:AB40"/>
    <mergeCell ref="AD40:AD41"/>
    <mergeCell ref="AI41:AJ41"/>
    <mergeCell ref="AH40:AJ40"/>
    <mergeCell ref="AA41:AB41"/>
    <mergeCell ref="E43:E56"/>
    <mergeCell ref="V43:AC43"/>
    <mergeCell ref="AD43:AL43"/>
    <mergeCell ref="F44:F55"/>
    <mergeCell ref="V44:AC44"/>
    <mergeCell ref="AD44:AL44"/>
    <mergeCell ref="G45:G54"/>
    <mergeCell ref="V45:AC45"/>
    <mergeCell ref="AD45:AL45"/>
    <mergeCell ref="H46:H53"/>
    <mergeCell ref="V46:AC46"/>
    <mergeCell ref="AD46:AL46"/>
    <mergeCell ref="I47:I52"/>
    <mergeCell ref="P47:P52"/>
    <mergeCell ref="J48:J51"/>
    <mergeCell ref="Q48:Q51"/>
    <mergeCell ref="V48:AC48"/>
    <mergeCell ref="AD48:AL48"/>
    <mergeCell ref="K49:K50"/>
    <mergeCell ref="Z49:Z50"/>
    <mergeCell ref="AA49:AA50"/>
    <mergeCell ref="AB49:AB50"/>
    <mergeCell ref="AC49:AC50"/>
    <mergeCell ref="AH49:AH50"/>
    <mergeCell ref="V37:AC37"/>
    <mergeCell ref="AD37:AK37"/>
    <mergeCell ref="AI49:AI50"/>
    <mergeCell ref="AJ49:AJ50"/>
    <mergeCell ref="AK49:AK50"/>
    <mergeCell ref="T65:AM65"/>
    <mergeCell ref="S34:T34"/>
    <mergeCell ref="V34:AB34"/>
    <mergeCell ref="AD34:AJ34"/>
    <mergeCell ref="S35:T35"/>
    <mergeCell ref="V35:AB35"/>
    <mergeCell ref="AD35:AJ35"/>
    <mergeCell ref="T63:AM63"/>
    <mergeCell ref="T64:AM64"/>
    <mergeCell ref="AM49:AM51"/>
    <mergeCell ref="T59:AM59"/>
    <mergeCell ref="T60:AM60"/>
    <mergeCell ref="T61:AM61"/>
    <mergeCell ref="V47:AC47"/>
    <mergeCell ref="AD47:AL47"/>
    <mergeCell ref="AA42:AB42"/>
    <mergeCell ref="AI42:AJ42"/>
    <mergeCell ref="AE40:AE41"/>
    <mergeCell ref="AF40:AG40"/>
  </mergeCells>
  <dataValidations count="8">
    <dataValidation allowBlank="1" sqref="S131123:AM131129 S196659:AM196665 S262195:AM262201 S327731:AM327737 S393267:AM393273 S458803:AM458809 S524339:AM524345 S589875:AM589881 S655411:AM655417 S720947:AM720953 S786483:AM786489 S852019:AM852025 S917555:AM917561 S983091:AM983097 S65587:AM65593"/>
    <dataValidation type="list" allowBlank="1" showInputMessage="1" showErrorMessage="1" errorTitle="Ошибка" error="Выберите значение из списка" 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
      <formula1>kind_of_scheme_in</formula1>
    </dataValidation>
    <dataValidation type="list" allowBlank="1" showInputMessage="1" errorTitle="Ошибка" error="Выберите значение из списка" prompt="Выберите значение из списка" sqref="V983088:AL983088 V65584:AL65584 V131120:AL131120 V196656:AL196656 V262192:AL262192 V327728:AL327728 V393264:AL393264 V458800:AL458800 V524336:AL524336 V589872:AL589872 V655408:AL655408 V720944:AL720944 V786480:AL786480 V852016:AL852016 V917552:AL917552">
      <formula1>kind_of_cons</formula1>
    </dataValidation>
    <dataValidation type="textLength" operator="lessThanOrEqual" allowBlank="1" showInputMessage="1" showErrorMessage="1" errorTitle="Ошибка" error="Допускается ввод не более 900 символов!" sqref="AM65579:AM65586 AM131115:AM131122 AM196651:AM196658 AM262187:AM262194 AM327723:AM327730 AM393259:AM393266 AM458795:AM458802 AM524331:AM524338 AM589867:AM589874 AM655403:AM655410 AM720939:AM720946 AM786475:AM786482 AM852011:AM852018 AM917547:AM917554 AM983083:AM983090">
      <formula1>900</formula1>
    </dataValidation>
    <dataValidation type="list" allowBlank="1" showInputMessage="1" showErrorMessage="1" errorTitle="Ошибка" error="Выберите значение из списка" sqref="T65585 T131121 T196657 T262193 T327729 T393265 T458801 T524337 T589873 T655409 T720945 T786481 T852017 T917553 T983089">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dataValidation allowBlank="1" promptTitle="checkPeriodRange" sqref="Y65586 Y131122 Y196658 Y262194 Y327730 Y393266 Y458802 Y524338 Y589874 Y655410 Y720946 Y786482 Y852018 Y917554 Y983090 Y9 AG65586 AG131122 AG196658 AG262194 AG327730 AG393266 AG458802 AG524338 AG589874 AG655410 AG720946 AG786482 AG852018 AG917554 AG983090 AG9 AG50 AG18 Y50"/>
    <dataValidation allowBlank="1" showInputMessage="1" showErrorMessage="1" prompt="Для выбора выполните двойной щелчок левой клавиши мыши по соответствующей ячейке."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393265 AK49 AK524337 AK8 AK589873 AK655409 AK17 AK720945 AK786481 AK852017 AK917553 AK983089 AK65585 AK131121 AK458801 AI49 AK196657 AI8 AC8 AA8 AI17 AK262193 AA49 AC49 AK327729"/>
  </dataValidation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39997558519241921"/>
  </sheetPr>
  <dimension ref="A1:AV71"/>
  <sheetViews>
    <sheetView showGridLines="0" topLeftCell="R29" zoomScale="90" workbookViewId="0"/>
  </sheetViews>
  <sheetFormatPr defaultColWidth="10.5703125" defaultRowHeight="14.25" customHeight="1"/>
  <cols>
    <col min="1" max="1" width="10.5703125" style="1829" hidden="1"/>
    <col min="2" max="2" width="11" style="1829" hidden="1" customWidth="1"/>
    <col min="3" max="3" width="10.5703125" style="1829" hidden="1"/>
    <col min="4" max="4" width="11.85546875" style="1829" hidden="1" customWidth="1"/>
    <col min="5" max="5" width="10" style="1829" hidden="1" customWidth="1"/>
    <col min="6" max="6" width="8.7109375" style="1829" hidden="1" customWidth="1"/>
    <col min="7" max="7" width="7.5703125" style="1829" hidden="1" customWidth="1"/>
    <col min="8" max="8" width="11.42578125" style="1829" hidden="1" customWidth="1"/>
    <col min="9" max="9" width="12" style="1829" hidden="1" customWidth="1"/>
    <col min="10" max="10" width="9.85546875" style="1829" hidden="1" customWidth="1"/>
    <col min="11" max="12" width="11.42578125" style="1829" hidden="1" customWidth="1"/>
    <col min="13" max="13" width="19.140625" style="1728" hidden="1" customWidth="1"/>
    <col min="14" max="15" width="12.28515625" style="1720" hidden="1" customWidth="1"/>
    <col min="16" max="16" width="23.42578125" style="1720" hidden="1" customWidth="1"/>
    <col min="17" max="17" width="3.7109375" style="1720" hidden="1" customWidth="1"/>
    <col min="18" max="20" width="3.7109375" style="1674" customWidth="1"/>
    <col min="21" max="21" width="12.7109375" style="1713" customWidth="1"/>
    <col min="22" max="22" width="32" style="1829" customWidth="1"/>
    <col min="23" max="23" width="0.140625" style="1829" customWidth="1"/>
    <col min="24" max="28" width="21.7109375" style="1829" hidden="1" customWidth="1"/>
    <col min="29" max="29" width="11.7109375" style="1829" hidden="1" customWidth="1"/>
    <col min="30" max="30" width="3.7109375" style="1829" hidden="1" customWidth="1"/>
    <col min="31" max="31" width="11.7109375" style="1829" hidden="1" customWidth="1"/>
    <col min="32" max="32" width="8.5703125" style="1829" hidden="1" customWidth="1"/>
    <col min="33" max="37" width="21.7109375" style="1829" customWidth="1"/>
    <col min="38" max="38" width="11.7109375" style="1829" customWidth="1"/>
    <col min="39" max="39" width="3.7109375" style="1829" customWidth="1"/>
    <col min="40" max="40" width="11.7109375" style="1829" customWidth="1"/>
    <col min="41" max="41" width="8.5703125" style="1829" customWidth="1"/>
    <col min="42" max="42" width="4.7109375" style="1829" customWidth="1"/>
    <col min="43" max="43" width="115.7109375" style="1829" customWidth="1"/>
    <col min="44" max="45" width="10.5703125" style="1755"/>
    <col min="46" max="46" width="11.140625" style="1755" customWidth="1"/>
    <col min="47" max="48" width="10.5703125" style="1755"/>
  </cols>
  <sheetData>
    <row r="1" spans="1:48" ht="14.25" hidden="1" customHeight="1">
      <c r="AB1" s="254"/>
      <c r="AC1" s="254"/>
      <c r="AK1" s="254"/>
      <c r="AL1" s="254"/>
    </row>
    <row r="2" spans="1:48" ht="21" hidden="1" customHeight="1">
      <c r="A2" s="1147"/>
      <c r="B2" s="1147"/>
      <c r="C2" s="1147"/>
      <c r="D2" s="1147"/>
      <c r="E2" s="2255">
        <v>1</v>
      </c>
      <c r="F2" s="1147"/>
      <c r="G2" s="1147"/>
      <c r="H2" s="1147"/>
      <c r="I2" s="1147"/>
      <c r="J2" s="1147"/>
      <c r="K2" s="1147"/>
      <c r="L2" s="1147"/>
      <c r="M2" s="1194"/>
      <c r="N2" s="602"/>
      <c r="O2" s="602"/>
      <c r="P2" s="602"/>
      <c r="Q2" s="285"/>
      <c r="R2" s="284"/>
      <c r="S2" s="284"/>
      <c r="T2" s="279"/>
      <c r="U2" s="1219" t="e">
        <f>INDEX(PT_DIFFERENTIATION_NUM_NTAR,MATCH(A2,PT_DIFFERENTIATION_NTAR_ID,0))</f>
        <v>#N/A</v>
      </c>
      <c r="V2" s="216" t="s">
        <v>124</v>
      </c>
      <c r="W2" s="218"/>
      <c r="X2" s="2215"/>
      <c r="Y2" s="2216"/>
      <c r="Z2" s="2216"/>
      <c r="AA2" s="2216"/>
      <c r="AB2" s="2216"/>
      <c r="AC2" s="2216"/>
      <c r="AD2" s="2216"/>
      <c r="AE2" s="2216"/>
      <c r="AF2" s="2217"/>
      <c r="AG2" s="2215" t="e">
        <f>INDEX(PT_DIFFERENTIATION_NTAR,MATCH(A2,PT_DIFFERENTIATION_NTAR_ID,0))</f>
        <v>#N/A</v>
      </c>
      <c r="AH2" s="2216"/>
      <c r="AI2" s="2216"/>
      <c r="AJ2" s="2216"/>
      <c r="AK2" s="2216"/>
      <c r="AL2" s="2216"/>
      <c r="AM2" s="2216"/>
      <c r="AN2" s="2216"/>
      <c r="AO2" s="2216"/>
      <c r="AP2" s="2217"/>
      <c r="AQ2" s="1138" t="s">
        <v>1462</v>
      </c>
      <c r="AS2" s="428"/>
      <c r="AT2" s="428" t="str">
        <f t="shared" ref="AT2:AT8" si="0">IF(V2="","",V2)</f>
        <v>Наименование тарифа</v>
      </c>
      <c r="AU2" s="428"/>
      <c r="AV2" s="428"/>
    </row>
    <row r="3" spans="1:48" ht="21" hidden="1" customHeight="1">
      <c r="A3" s="1147"/>
      <c r="B3" s="1147"/>
      <c r="C3" s="1147"/>
      <c r="D3" s="1147"/>
      <c r="E3" s="2256"/>
      <c r="F3" s="2255">
        <v>1</v>
      </c>
      <c r="G3" s="1147"/>
      <c r="H3" s="1147"/>
      <c r="I3" s="1147"/>
      <c r="J3" s="1147"/>
      <c r="K3" s="1147"/>
      <c r="L3" s="1147"/>
      <c r="M3" s="1194"/>
      <c r="N3" s="602"/>
      <c r="O3" s="602"/>
      <c r="P3" s="602"/>
      <c r="Q3" s="1215"/>
      <c r="R3" s="276"/>
      <c r="S3" s="437"/>
      <c r="T3" s="277"/>
      <c r="U3" s="1219" t="e">
        <f>INDEX(PT_DIFFERENTIATION_NUM_TER,MATCH(B3,PT_DIFFERENTIATION_TER_ID,0))</f>
        <v>#N/A</v>
      </c>
      <c r="V3" s="228" t="s">
        <v>1463</v>
      </c>
      <c r="W3" s="218"/>
      <c r="X3" s="2215"/>
      <c r="Y3" s="2216"/>
      <c r="Z3" s="2216"/>
      <c r="AA3" s="2216"/>
      <c r="AB3" s="2216"/>
      <c r="AC3" s="2216"/>
      <c r="AD3" s="2216"/>
      <c r="AE3" s="2216"/>
      <c r="AF3" s="2217"/>
      <c r="AG3" s="2215" t="e">
        <f>INDEX(PT_DIFFERENTIATION_TER,MATCH(B3,PT_DIFFERENTIATION_TER_ID,0))</f>
        <v>#N/A</v>
      </c>
      <c r="AH3" s="2216"/>
      <c r="AI3" s="2216"/>
      <c r="AJ3" s="2216"/>
      <c r="AK3" s="2216"/>
      <c r="AL3" s="2216"/>
      <c r="AM3" s="2216"/>
      <c r="AN3" s="2216"/>
      <c r="AO3" s="2216"/>
      <c r="AP3" s="2217"/>
      <c r="AQ3" s="1138" t="s">
        <v>1464</v>
      </c>
      <c r="AS3" s="428"/>
      <c r="AT3" s="428" t="str">
        <f t="shared" si="0"/>
        <v>Территория действия тарифа</v>
      </c>
      <c r="AU3" s="428"/>
      <c r="AV3" s="428"/>
    </row>
    <row r="4" spans="1:48" ht="22.5" hidden="1" customHeight="1">
      <c r="A4" s="1147"/>
      <c r="B4" s="1147"/>
      <c r="C4" s="1147"/>
      <c r="D4" s="1147"/>
      <c r="E4" s="2256"/>
      <c r="F4" s="2256"/>
      <c r="G4" s="2255">
        <v>1</v>
      </c>
      <c r="H4" s="1147"/>
      <c r="I4" s="1147"/>
      <c r="J4" s="1147"/>
      <c r="K4" s="1147"/>
      <c r="L4" s="1147"/>
      <c r="M4" s="1194"/>
      <c r="N4" s="602"/>
      <c r="O4" s="602"/>
      <c r="P4" s="602"/>
      <c r="Q4" s="278"/>
      <c r="R4" s="276"/>
      <c r="S4" s="437"/>
      <c r="T4" s="277"/>
      <c r="U4" s="1219" t="e">
        <f>INDEX(PT_DIFFERENTIATION_NUM_CS,MATCH(C4,PT_DIFFERENTIATION_CS_ID,0))</f>
        <v>#N/A</v>
      </c>
      <c r="V4" s="229" t="s">
        <v>1465</v>
      </c>
      <c r="W4" s="218"/>
      <c r="X4" s="2215"/>
      <c r="Y4" s="2216"/>
      <c r="Z4" s="2216"/>
      <c r="AA4" s="2216"/>
      <c r="AB4" s="2216"/>
      <c r="AC4" s="2216"/>
      <c r="AD4" s="2216"/>
      <c r="AE4" s="2216"/>
      <c r="AF4" s="2217"/>
      <c r="AG4" s="2215" t="e">
        <f>INDEX(PT_DIFFERENTIATION_CS,MATCH(C4,PT_DIFFERENTIATION_CS_ID,0))</f>
        <v>#N/A</v>
      </c>
      <c r="AH4" s="2216"/>
      <c r="AI4" s="2216"/>
      <c r="AJ4" s="2216"/>
      <c r="AK4" s="2216"/>
      <c r="AL4" s="2216"/>
      <c r="AM4" s="2216"/>
      <c r="AN4" s="2216"/>
      <c r="AO4" s="2216"/>
      <c r="AP4" s="2217"/>
      <c r="AQ4" s="1138" t="s">
        <v>1466</v>
      </c>
      <c r="AS4" s="428"/>
      <c r="AT4" s="428" t="str">
        <f t="shared" si="0"/>
        <v xml:space="preserve">Наименование системы теплоснабжения </v>
      </c>
      <c r="AU4" s="428"/>
      <c r="AV4" s="428"/>
    </row>
    <row r="5" spans="1:48" ht="21" hidden="1" customHeight="1">
      <c r="A5" s="1147"/>
      <c r="B5" s="1147"/>
      <c r="C5" s="1147"/>
      <c r="D5" s="1147"/>
      <c r="E5" s="2256"/>
      <c r="F5" s="2256"/>
      <c r="G5" s="2256"/>
      <c r="H5" s="2255">
        <v>1</v>
      </c>
      <c r="I5" s="1147"/>
      <c r="J5" s="1147"/>
      <c r="K5" s="1147"/>
      <c r="L5" s="1147"/>
      <c r="M5" s="1194"/>
      <c r="N5" s="602"/>
      <c r="O5" s="602"/>
      <c r="P5" s="602"/>
      <c r="Q5" s="278"/>
      <c r="R5" s="276"/>
      <c r="S5" s="437"/>
      <c r="T5" s="277"/>
      <c r="U5" s="1219" t="e">
        <f>INDEX(PT_DIFFERENTIATION_NUM_IST_TE,MATCH(D5,PT_DIFFERENTIATION_IST_TE_ID,0))</f>
        <v>#N/A</v>
      </c>
      <c r="V5" s="230" t="s">
        <v>1467</v>
      </c>
      <c r="W5" s="218"/>
      <c r="X5" s="2215"/>
      <c r="Y5" s="2216"/>
      <c r="Z5" s="2216"/>
      <c r="AA5" s="2216"/>
      <c r="AB5" s="2216"/>
      <c r="AC5" s="2216"/>
      <c r="AD5" s="2216"/>
      <c r="AE5" s="2216"/>
      <c r="AF5" s="2217"/>
      <c r="AG5" s="2215" t="e">
        <f>INDEX(PT_DIFFERENTIATION_IST_TE,MATCH(D5,PT_DIFFERENTIATION_IST_TE_ID,0))</f>
        <v>#N/A</v>
      </c>
      <c r="AH5" s="2216"/>
      <c r="AI5" s="2216"/>
      <c r="AJ5" s="2216"/>
      <c r="AK5" s="2216"/>
      <c r="AL5" s="2216"/>
      <c r="AM5" s="2216"/>
      <c r="AN5" s="2216"/>
      <c r="AO5" s="2216"/>
      <c r="AP5" s="2217"/>
      <c r="AQ5" s="1138" t="s">
        <v>1468</v>
      </c>
      <c r="AS5" s="428"/>
      <c r="AT5" s="428" t="str">
        <f t="shared" si="0"/>
        <v xml:space="preserve">Источник тепловой энергии  </v>
      </c>
      <c r="AU5" s="428"/>
      <c r="AV5" s="428"/>
    </row>
    <row r="6" spans="1:48" ht="14.25" hidden="1" customHeight="1">
      <c r="A6" s="1147"/>
      <c r="B6" s="1147"/>
      <c r="C6" s="1147"/>
      <c r="D6" s="1147"/>
      <c r="E6" s="2256"/>
      <c r="F6" s="2256"/>
      <c r="G6" s="2256"/>
      <c r="H6" s="2256"/>
      <c r="I6" s="2007" t="e">
        <f>U5&amp;".1"</f>
        <v>#N/A</v>
      </c>
      <c r="J6" s="1147"/>
      <c r="K6" s="1147"/>
      <c r="L6" s="1147"/>
      <c r="M6" s="1194" t="s">
        <v>1469</v>
      </c>
      <c r="N6" s="437"/>
      <c r="Q6" s="2143">
        <v>1</v>
      </c>
      <c r="R6" s="1214"/>
      <c r="S6" s="1214"/>
      <c r="T6" s="280"/>
      <c r="U6" s="932"/>
      <c r="V6" s="1261"/>
      <c r="W6" s="1262"/>
      <c r="X6" s="2249"/>
      <c r="Y6" s="2250"/>
      <c r="Z6" s="2250"/>
      <c r="AA6" s="2250"/>
      <c r="AB6" s="2250"/>
      <c r="AC6" s="2250"/>
      <c r="AD6" s="2250"/>
      <c r="AE6" s="2250"/>
      <c r="AF6" s="2251"/>
      <c r="AG6" s="2249"/>
      <c r="AH6" s="2250"/>
      <c r="AI6" s="2250"/>
      <c r="AJ6" s="2250"/>
      <c r="AK6" s="2250"/>
      <c r="AL6" s="2250"/>
      <c r="AM6" s="2250"/>
      <c r="AN6" s="2250"/>
      <c r="AO6" s="2250"/>
      <c r="AP6" s="2251"/>
      <c r="AQ6" s="1263"/>
      <c r="AS6" s="428"/>
      <c r="AT6" s="428" t="str">
        <f t="shared" si="0"/>
        <v/>
      </c>
      <c r="AU6" s="428"/>
      <c r="AV6" s="428"/>
    </row>
    <row r="7" spans="1:48" ht="21" hidden="1" customHeight="1">
      <c r="A7" s="1147"/>
      <c r="B7" s="1147"/>
      <c r="C7" s="1147"/>
      <c r="D7" s="1147"/>
      <c r="E7" s="2256"/>
      <c r="F7" s="2256"/>
      <c r="G7" s="2256"/>
      <c r="H7" s="2256"/>
      <c r="I7" s="1989"/>
      <c r="J7" s="2007" t="e">
        <f>I6&amp;".1"</f>
        <v>#N/A</v>
      </c>
      <c r="K7" s="1147"/>
      <c r="L7" s="1147"/>
      <c r="M7" s="1194" t="s">
        <v>1472</v>
      </c>
      <c r="N7" s="437"/>
      <c r="O7" s="254"/>
      <c r="Q7" s="2143"/>
      <c r="R7" s="2143">
        <v>1</v>
      </c>
      <c r="S7" s="446"/>
      <c r="T7" s="281"/>
      <c r="U7" s="1219" t="e">
        <f>$J7</f>
        <v>#N/A</v>
      </c>
      <c r="V7" s="204" t="s">
        <v>1473</v>
      </c>
      <c r="W7" s="218"/>
      <c r="X7" s="2210"/>
      <c r="Y7" s="2211"/>
      <c r="Z7" s="2211"/>
      <c r="AA7" s="2211"/>
      <c r="AB7" s="2211"/>
      <c r="AC7" s="2120"/>
      <c r="AD7" s="2120"/>
      <c r="AE7" s="2120"/>
      <c r="AF7" s="2257"/>
      <c r="AG7" s="2210"/>
      <c r="AH7" s="2211"/>
      <c r="AI7" s="2211"/>
      <c r="AJ7" s="2211"/>
      <c r="AK7" s="2211"/>
      <c r="AL7" s="2211"/>
      <c r="AM7" s="2211"/>
      <c r="AN7" s="2211"/>
      <c r="AO7" s="2211"/>
      <c r="AP7" s="2212"/>
      <c r="AQ7" s="1138" t="s">
        <v>1474</v>
      </c>
      <c r="AS7" s="428"/>
      <c r="AT7" s="428" t="str">
        <f t="shared" si="0"/>
        <v>Группа потребителей</v>
      </c>
      <c r="AU7" s="428"/>
      <c r="AV7" s="428"/>
    </row>
    <row r="8" spans="1:48" ht="21" hidden="1" customHeight="1">
      <c r="A8" s="1147"/>
      <c r="B8" s="1147"/>
      <c r="C8" s="1147"/>
      <c r="D8" s="1147"/>
      <c r="E8" s="2256"/>
      <c r="F8" s="2256"/>
      <c r="G8" s="2256"/>
      <c r="H8" s="2256"/>
      <c r="I8" s="1989"/>
      <c r="J8" s="1989"/>
      <c r="K8" s="2007" t="e">
        <f>J7&amp;".1"</f>
        <v>#N/A</v>
      </c>
      <c r="L8" s="70"/>
      <c r="M8" s="1194" t="s">
        <v>1475</v>
      </c>
      <c r="N8" s="437"/>
      <c r="O8" s="254"/>
      <c r="P8" s="254"/>
      <c r="Q8" s="2143"/>
      <c r="R8" s="2143"/>
      <c r="S8" s="2143">
        <v>1</v>
      </c>
      <c r="T8" s="281"/>
      <c r="U8" s="1219" t="e">
        <f>$K8</f>
        <v>#N/A</v>
      </c>
      <c r="V8" s="1230"/>
      <c r="W8" s="218"/>
      <c r="X8" s="1664"/>
      <c r="Y8" s="1664"/>
      <c r="Z8" s="1664"/>
      <c r="AA8" s="1664"/>
      <c r="AB8" s="1676"/>
      <c r="AC8" s="2225"/>
      <c r="AD8" s="2017" t="s">
        <v>62</v>
      </c>
      <c r="AE8" s="2225"/>
      <c r="AF8" s="2017" t="s">
        <v>62</v>
      </c>
      <c r="AG8" s="1677"/>
      <c r="AH8" s="1664"/>
      <c r="AI8" s="1664"/>
      <c r="AJ8" s="1664"/>
      <c r="AK8" s="1666"/>
      <c r="AL8" s="2225"/>
      <c r="AM8" s="2017" t="s">
        <v>62</v>
      </c>
      <c r="AN8" s="2225"/>
      <c r="AO8" s="2017" t="s">
        <v>62</v>
      </c>
      <c r="AP8" s="1665"/>
      <c r="AQ8" s="1192" t="s">
        <v>1525</v>
      </c>
      <c r="AR8" s="439" t="e">
        <f ca="1">STRCHECKDATE(X10:AP10)</f>
        <v>#NAME?</v>
      </c>
      <c r="AS8" s="428"/>
      <c r="AT8" s="428" t="str">
        <f t="shared" si="0"/>
        <v/>
      </c>
      <c r="AU8" s="428"/>
      <c r="AV8" s="428"/>
    </row>
    <row r="9" spans="1:48" ht="21" hidden="1" customHeight="1">
      <c r="A9" s="1147"/>
      <c r="B9" s="1147"/>
      <c r="C9" s="1147"/>
      <c r="D9" s="1147"/>
      <c r="E9" s="2256"/>
      <c r="F9" s="2256"/>
      <c r="G9" s="2256"/>
      <c r="H9" s="2256"/>
      <c r="I9" s="1989"/>
      <c r="J9" s="1989"/>
      <c r="K9" s="1989"/>
      <c r="L9" s="2007" t="e">
        <f>K8&amp;".1"</f>
        <v>#N/A</v>
      </c>
      <c r="M9" s="1194"/>
      <c r="N9" s="437"/>
      <c r="O9" s="254"/>
      <c r="P9" s="254"/>
      <c r="Q9" s="2143"/>
      <c r="R9" s="2143"/>
      <c r="S9" s="2143"/>
      <c r="T9" s="281"/>
      <c r="U9" s="1219" t="e">
        <f>$L9</f>
        <v>#N/A</v>
      </c>
      <c r="V9" s="1268"/>
      <c r="W9" s="218"/>
      <c r="X9" s="1665"/>
      <c r="Y9" s="1664"/>
      <c r="Z9" s="1664"/>
      <c r="AA9" s="1664"/>
      <c r="AB9" s="1676"/>
      <c r="AC9" s="2226"/>
      <c r="AD9" s="2017"/>
      <c r="AE9" s="2226"/>
      <c r="AF9" s="2017"/>
      <c r="AG9" s="1677"/>
      <c r="AH9" s="1664"/>
      <c r="AI9" s="1664"/>
      <c r="AJ9" s="1664"/>
      <c r="AK9" s="1666"/>
      <c r="AL9" s="2226"/>
      <c r="AM9" s="2017"/>
      <c r="AN9" s="2226"/>
      <c r="AO9" s="2017"/>
      <c r="AP9" s="1665"/>
      <c r="AQ9" s="2243" t="s">
        <v>1526</v>
      </c>
      <c r="AS9" s="428"/>
      <c r="AT9" s="428"/>
      <c r="AU9" s="428"/>
      <c r="AV9" s="428"/>
    </row>
    <row r="10" spans="1:48" ht="0.75" hidden="1" customHeight="1">
      <c r="A10" s="1147"/>
      <c r="B10" s="1147"/>
      <c r="C10" s="1147"/>
      <c r="D10" s="1147"/>
      <c r="E10" s="2256"/>
      <c r="F10" s="2256"/>
      <c r="G10" s="2256"/>
      <c r="H10" s="2256"/>
      <c r="I10" s="1989"/>
      <c r="J10" s="1989"/>
      <c r="K10" s="1989"/>
      <c r="L10" s="2007"/>
      <c r="M10" s="1194"/>
      <c r="N10" s="437"/>
      <c r="O10" s="254"/>
      <c r="P10" s="254"/>
      <c r="Q10" s="2143"/>
      <c r="R10" s="2143"/>
      <c r="S10" s="2143"/>
      <c r="T10" s="281"/>
      <c r="U10" s="1225"/>
      <c r="V10" s="218"/>
      <c r="W10" s="218"/>
      <c r="X10" s="1665"/>
      <c r="Y10" s="1665"/>
      <c r="Z10" s="1665"/>
      <c r="AA10" s="1665"/>
      <c r="AB10" s="1678" t="str">
        <f>AC8&amp;"-"&amp;AE8</f>
        <v>-</v>
      </c>
      <c r="AC10" s="2226"/>
      <c r="AD10" s="2017"/>
      <c r="AE10" s="2226"/>
      <c r="AF10" s="2017"/>
      <c r="AG10" s="1679"/>
      <c r="AH10" s="1665"/>
      <c r="AI10" s="1665"/>
      <c r="AJ10" s="1665"/>
      <c r="AK10" s="1667" t="str">
        <f>AL8&amp;"-"&amp;AN8</f>
        <v>-</v>
      </c>
      <c r="AL10" s="2226"/>
      <c r="AM10" s="2017"/>
      <c r="AN10" s="2226"/>
      <c r="AO10" s="2017"/>
      <c r="AP10" s="1665"/>
      <c r="AQ10" s="2244"/>
      <c r="AS10" s="428"/>
      <c r="AT10" s="428" t="str">
        <f>IF(V10="","",V10)</f>
        <v/>
      </c>
      <c r="AU10" s="428"/>
      <c r="AV10" s="428"/>
    </row>
    <row r="11" spans="1:48" ht="11.25" hidden="1" customHeight="1">
      <c r="A11" s="1147"/>
      <c r="B11" s="1147"/>
      <c r="C11" s="1147"/>
      <c r="D11" s="1147"/>
      <c r="E11" s="2256"/>
      <c r="F11" s="2256"/>
      <c r="G11" s="2256"/>
      <c r="H11" s="2256"/>
      <c r="I11" s="1989"/>
      <c r="J11" s="1989"/>
      <c r="K11" s="2007"/>
      <c r="L11" s="1147"/>
      <c r="M11" s="1194"/>
      <c r="N11" s="437"/>
      <c r="O11" s="254"/>
      <c r="P11" s="254"/>
      <c r="Q11" s="2143"/>
      <c r="R11" s="2143"/>
      <c r="S11" s="2143"/>
      <c r="T11" s="281"/>
      <c r="U11" s="1159"/>
      <c r="V11" s="206" t="s">
        <v>1527</v>
      </c>
      <c r="W11" s="1269"/>
      <c r="X11" s="1680"/>
      <c r="Y11" s="1680"/>
      <c r="Z11" s="1680"/>
      <c r="AA11" s="1680"/>
      <c r="AB11" s="1681"/>
      <c r="AC11" s="2226"/>
      <c r="AD11" s="2017"/>
      <c r="AE11" s="2226"/>
      <c r="AF11" s="2017"/>
      <c r="AG11" s="1680"/>
      <c r="AH11" s="1680"/>
      <c r="AI11" s="1680"/>
      <c r="AJ11" s="1680"/>
      <c r="AK11" s="1681"/>
      <c r="AL11" s="2226"/>
      <c r="AM11" s="2017"/>
      <c r="AN11" s="2226"/>
      <c r="AO11" s="2017"/>
      <c r="AP11" s="1682"/>
      <c r="AQ11" s="2244"/>
      <c r="AS11" s="428"/>
      <c r="AT11" s="428"/>
      <c r="AU11" s="428"/>
      <c r="AV11" s="428"/>
    </row>
    <row r="12" spans="1:48" ht="15" hidden="1" customHeight="1">
      <c r="A12" s="1147"/>
      <c r="B12" s="1147"/>
      <c r="C12" s="1147"/>
      <c r="D12" s="1147"/>
      <c r="E12" s="2256"/>
      <c r="F12" s="2256"/>
      <c r="G12" s="2256"/>
      <c r="H12" s="2256"/>
      <c r="I12" s="1989"/>
      <c r="J12" s="2007"/>
      <c r="K12" s="1147"/>
      <c r="L12" s="1147"/>
      <c r="M12" s="1194"/>
      <c r="N12" s="437"/>
      <c r="O12" s="254"/>
      <c r="Q12" s="2143"/>
      <c r="R12" s="2143"/>
      <c r="S12" s="1214"/>
      <c r="T12" s="280"/>
      <c r="U12" s="1159"/>
      <c r="V12" s="205" t="s">
        <v>1477</v>
      </c>
      <c r="W12" s="294"/>
      <c r="X12" s="294"/>
      <c r="Y12" s="294"/>
      <c r="Z12" s="294"/>
      <c r="AA12" s="294"/>
      <c r="AB12" s="294"/>
      <c r="AC12" s="1276"/>
      <c r="AD12" s="1276"/>
      <c r="AE12" s="1276"/>
      <c r="AF12" s="1276"/>
      <c r="AG12" s="294"/>
      <c r="AH12" s="294"/>
      <c r="AI12" s="294"/>
      <c r="AJ12" s="294"/>
      <c r="AK12" s="294"/>
      <c r="AL12" s="294"/>
      <c r="AM12" s="294"/>
      <c r="AN12" s="294"/>
      <c r="AO12" s="294"/>
      <c r="AP12" s="251"/>
      <c r="AQ12" s="2245"/>
      <c r="AS12" s="428"/>
      <c r="AT12" s="428" t="str">
        <f t="shared" ref="AT12:AT17" si="1">IF(V12="","",V12)</f>
        <v>Добавить вид теплоносителя (параметры теплоносителя)</v>
      </c>
      <c r="AU12" s="428"/>
      <c r="AV12" s="428"/>
    </row>
    <row r="13" spans="1:48" ht="15" hidden="1" customHeight="1">
      <c r="A13" s="1147"/>
      <c r="B13" s="1147"/>
      <c r="C13" s="1147"/>
      <c r="D13" s="1147"/>
      <c r="E13" s="2256"/>
      <c r="F13" s="2256"/>
      <c r="G13" s="2256"/>
      <c r="H13" s="2256"/>
      <c r="I13" s="2007"/>
      <c r="J13" s="1147"/>
      <c r="K13" s="1147"/>
      <c r="L13" s="1147"/>
      <c r="M13" s="1194"/>
      <c r="N13" s="437"/>
      <c r="Q13" s="2143"/>
      <c r="R13" s="1214"/>
      <c r="S13" s="1214"/>
      <c r="T13" s="280"/>
      <c r="U13" s="1159"/>
      <c r="V13" s="291" t="s">
        <v>1478</v>
      </c>
      <c r="W13" s="294"/>
      <c r="X13" s="294"/>
      <c r="Y13" s="294"/>
      <c r="Z13" s="294"/>
      <c r="AA13" s="294"/>
      <c r="AB13" s="294"/>
      <c r="AC13" s="294"/>
      <c r="AD13" s="294"/>
      <c r="AE13" s="294"/>
      <c r="AF13" s="293"/>
      <c r="AG13" s="294"/>
      <c r="AH13" s="294"/>
      <c r="AI13" s="294"/>
      <c r="AJ13" s="294"/>
      <c r="AK13" s="294"/>
      <c r="AL13" s="294"/>
      <c r="AM13" s="294"/>
      <c r="AN13" s="294"/>
      <c r="AO13" s="293"/>
      <c r="AP13" s="294"/>
      <c r="AQ13" s="221"/>
      <c r="AS13" s="428"/>
      <c r="AT13" s="428" t="str">
        <f t="shared" si="1"/>
        <v>Добавить группу потребителей</v>
      </c>
      <c r="AU13" s="428"/>
      <c r="AV13" s="428"/>
    </row>
    <row r="14" spans="1:48" ht="14.25" hidden="1" customHeight="1">
      <c r="A14" s="1147"/>
      <c r="B14" s="1147"/>
      <c r="C14" s="1147"/>
      <c r="D14" s="1147"/>
      <c r="E14" s="2256"/>
      <c r="F14" s="2256"/>
      <c r="G14" s="2256"/>
      <c r="H14" s="2255"/>
      <c r="I14" s="1147"/>
      <c r="J14" s="1147"/>
      <c r="K14" s="1147"/>
      <c r="L14" s="1147"/>
      <c r="M14" s="1194"/>
      <c r="N14" s="602"/>
      <c r="O14" s="602"/>
      <c r="P14" s="437"/>
      <c r="Q14" s="284"/>
      <c r="R14" s="303"/>
      <c r="S14" s="279"/>
      <c r="T14" s="284"/>
      <c r="U14" s="1264"/>
      <c r="V14" s="1265"/>
      <c r="W14" s="1266"/>
      <c r="X14" s="1266"/>
      <c r="Y14" s="1266"/>
      <c r="Z14" s="1266"/>
      <c r="AA14" s="1266"/>
      <c r="AB14" s="1266"/>
      <c r="AC14" s="1266"/>
      <c r="AD14" s="1266"/>
      <c r="AE14" s="1266"/>
      <c r="AF14" s="1266"/>
      <c r="AG14" s="1266"/>
      <c r="AH14" s="1266"/>
      <c r="AI14" s="1266"/>
      <c r="AJ14" s="1266"/>
      <c r="AK14" s="1266"/>
      <c r="AL14" s="1266"/>
      <c r="AM14" s="1266"/>
      <c r="AN14" s="1266"/>
      <c r="AO14" s="1266"/>
      <c r="AP14" s="1266"/>
      <c r="AQ14" s="1267"/>
      <c r="AS14" s="428"/>
      <c r="AT14" s="428" t="str">
        <f t="shared" si="1"/>
        <v/>
      </c>
      <c r="AU14" s="428"/>
      <c r="AV14" s="428"/>
    </row>
    <row r="15" spans="1:48" s="1755" customFormat="1" ht="0.75" hidden="1" customHeight="1">
      <c r="A15" s="1253"/>
      <c r="B15" s="1253"/>
      <c r="C15" s="1253"/>
      <c r="D15" s="1253"/>
      <c r="E15" s="2256"/>
      <c r="F15" s="2256"/>
      <c r="G15" s="2255"/>
      <c r="H15" s="1253"/>
      <c r="I15" s="1253"/>
      <c r="J15" s="1253"/>
      <c r="K15" s="1253"/>
      <c r="L15" s="1253"/>
      <c r="M15" s="1256"/>
      <c r="N15" s="1257"/>
      <c r="O15" s="1257"/>
      <c r="P15" s="275"/>
      <c r="Q15" s="1200"/>
      <c r="R15" s="1201"/>
      <c r="S15" s="1200"/>
      <c r="T15" s="1200"/>
      <c r="U15" s="1202"/>
      <c r="V15" s="1203" t="s">
        <v>1438</v>
      </c>
      <c r="W15" s="1204"/>
      <c r="X15" s="1204"/>
      <c r="Y15" s="1204"/>
      <c r="Z15" s="1204"/>
      <c r="AA15" s="1204"/>
      <c r="AB15" s="1204"/>
      <c r="AC15" s="1204"/>
      <c r="AD15" s="1204"/>
      <c r="AE15" s="1204"/>
      <c r="AF15" s="1204"/>
      <c r="AG15" s="1204"/>
      <c r="AH15" s="1204"/>
      <c r="AI15" s="1204"/>
      <c r="AJ15" s="1204"/>
      <c r="AK15" s="1204"/>
      <c r="AL15" s="1204"/>
      <c r="AM15" s="1204"/>
      <c r="AN15" s="1204"/>
      <c r="AO15" s="1204"/>
      <c r="AP15" s="1204"/>
      <c r="AQ15" s="1204"/>
      <c r="AS15" s="695"/>
      <c r="AT15" s="695" t="str">
        <f t="shared" si="1"/>
        <v>Добавить источник для дифференциации</v>
      </c>
      <c r="AU15" s="695"/>
      <c r="AV15" s="695"/>
    </row>
    <row r="16" spans="1:48" s="1755" customFormat="1" ht="0.75" hidden="1" customHeight="1">
      <c r="A16" s="1253"/>
      <c r="B16" s="1253"/>
      <c r="C16" s="1253"/>
      <c r="D16" s="1253"/>
      <c r="E16" s="2256"/>
      <c r="F16" s="2255"/>
      <c r="G16" s="1253"/>
      <c r="H16" s="1253"/>
      <c r="I16" s="1253"/>
      <c r="J16" s="1253"/>
      <c r="K16" s="1253"/>
      <c r="L16" s="1253"/>
      <c r="M16" s="1256"/>
      <c r="N16" s="1258"/>
      <c r="O16" s="1258"/>
      <c r="P16" s="275"/>
      <c r="Q16" s="1200"/>
      <c r="R16" s="1201"/>
      <c r="S16" s="1200"/>
      <c r="T16" s="1200"/>
      <c r="U16" s="1206"/>
      <c r="V16" s="1207" t="s">
        <v>1439</v>
      </c>
      <c r="W16" s="1208"/>
      <c r="X16" s="1208"/>
      <c r="Y16" s="1208"/>
      <c r="Z16" s="1208"/>
      <c r="AA16" s="1208"/>
      <c r="AB16" s="1208"/>
      <c r="AC16" s="1208"/>
      <c r="AD16" s="1208"/>
      <c r="AE16" s="1208"/>
      <c r="AF16" s="1208"/>
      <c r="AG16" s="1208"/>
      <c r="AH16" s="1208"/>
      <c r="AI16" s="1208"/>
      <c r="AJ16" s="1208"/>
      <c r="AK16" s="1208"/>
      <c r="AL16" s="1208"/>
      <c r="AM16" s="1208"/>
      <c r="AN16" s="1208"/>
      <c r="AO16" s="1208"/>
      <c r="AP16" s="1208"/>
      <c r="AQ16" s="1208"/>
      <c r="AS16" s="695"/>
      <c r="AT16" s="695" t="str">
        <f t="shared" si="1"/>
        <v>Добавить централизованную систему для дифференциации</v>
      </c>
      <c r="AU16" s="695"/>
      <c r="AV16" s="695"/>
    </row>
    <row r="17" spans="1:48" s="1755" customFormat="1" ht="0.75" hidden="1" customHeight="1">
      <c r="A17" s="1253"/>
      <c r="B17" s="1253"/>
      <c r="C17" s="1253"/>
      <c r="D17" s="1253"/>
      <c r="E17" s="2255"/>
      <c r="F17" s="1253"/>
      <c r="G17" s="1253"/>
      <c r="H17" s="1253"/>
      <c r="I17" s="1253"/>
      <c r="J17" s="1253"/>
      <c r="K17" s="1253"/>
      <c r="L17" s="1253"/>
      <c r="M17" s="1256"/>
      <c r="N17" s="1258"/>
      <c r="O17" s="1258"/>
      <c r="P17" s="275"/>
      <c r="Q17" s="1200"/>
      <c r="R17" s="1201"/>
      <c r="S17" s="1200"/>
      <c r="T17" s="1200"/>
      <c r="U17" s="1206"/>
      <c r="V17" s="1209" t="s">
        <v>1440</v>
      </c>
      <c r="W17" s="1208"/>
      <c r="X17" s="1208"/>
      <c r="Y17" s="1208"/>
      <c r="Z17" s="1208"/>
      <c r="AA17" s="1208"/>
      <c r="AB17" s="1208"/>
      <c r="AC17" s="1208"/>
      <c r="AD17" s="1208"/>
      <c r="AE17" s="1208"/>
      <c r="AF17" s="1208"/>
      <c r="AG17" s="1208"/>
      <c r="AH17" s="1208"/>
      <c r="AI17" s="1208"/>
      <c r="AJ17" s="1208"/>
      <c r="AK17" s="1208"/>
      <c r="AL17" s="1208"/>
      <c r="AM17" s="1208"/>
      <c r="AN17" s="1208"/>
      <c r="AO17" s="1208"/>
      <c r="AP17" s="1208"/>
      <c r="AQ17" s="1208"/>
      <c r="AS17" s="695"/>
      <c r="AT17" s="695" t="str">
        <f t="shared" si="1"/>
        <v>Добавить территорию для дифференциации</v>
      </c>
      <c r="AU17" s="695"/>
      <c r="AV17" s="695"/>
    </row>
    <row r="18" spans="1:48" ht="14.25" hidden="1" customHeight="1">
      <c r="AF18" s="254"/>
      <c r="AO18" s="254"/>
    </row>
    <row r="19" spans="1:48" ht="14.25" hidden="1" customHeight="1">
      <c r="AG19" s="1668"/>
      <c r="AH19" s="1668"/>
      <c r="AI19" s="1668"/>
      <c r="AJ19" s="1668"/>
      <c r="AK19" s="1669"/>
      <c r="AL19" s="2219"/>
      <c r="AM19" s="2218" t="s">
        <v>62</v>
      </c>
      <c r="AN19" s="2219"/>
      <c r="AO19" s="2218" t="s">
        <v>62</v>
      </c>
    </row>
    <row r="20" spans="1:48" ht="14.25" hidden="1" customHeight="1">
      <c r="AG20" s="1668"/>
      <c r="AH20" s="1668"/>
      <c r="AI20" s="1668"/>
      <c r="AJ20" s="1668"/>
      <c r="AK20" s="1669"/>
      <c r="AL20" s="2219"/>
      <c r="AM20" s="2218"/>
      <c r="AN20" s="2219"/>
      <c r="AO20" s="2218"/>
    </row>
    <row r="21" spans="1:48" ht="14.25" hidden="1" customHeight="1">
      <c r="AG21" s="1668"/>
      <c r="AH21" s="1668"/>
      <c r="AI21" s="1668"/>
      <c r="AJ21" s="1668"/>
      <c r="AK21" s="1669"/>
      <c r="AL21" s="2219"/>
      <c r="AM21" s="2218"/>
      <c r="AN21" s="2219"/>
      <c r="AO21" s="2218"/>
    </row>
    <row r="22" spans="1:48" ht="14.25" hidden="1" customHeight="1">
      <c r="AG22" s="1668"/>
      <c r="AH22" s="1668"/>
      <c r="AI22" s="1668"/>
      <c r="AJ22" s="1668"/>
      <c r="AK22" s="1667" t="str">
        <f>AL19&amp;"-"&amp;AN19</f>
        <v>-</v>
      </c>
      <c r="AL22" s="2218"/>
      <c r="AM22" s="2218"/>
      <c r="AN22" s="2218"/>
      <c r="AO22" s="2218"/>
    </row>
    <row r="23" spans="1:48" ht="14.25" hidden="1" customHeight="1">
      <c r="AO23" s="254"/>
    </row>
    <row r="24" spans="1:48" s="1742" customFormat="1" ht="22.5" hidden="1" customHeight="1">
      <c r="A24" s="1029"/>
      <c r="B24" s="1029"/>
      <c r="C24" s="1029"/>
      <c r="D24" s="1029"/>
      <c r="E24" s="1029"/>
      <c r="F24" s="1029"/>
      <c r="G24" s="1029"/>
      <c r="H24" s="1029"/>
      <c r="I24" s="1029"/>
      <c r="J24" s="1029"/>
      <c r="K24" s="1029"/>
      <c r="L24" s="1029"/>
      <c r="M24" s="1210"/>
      <c r="N24" s="1211"/>
      <c r="O24" s="1211"/>
      <c r="P24" s="1228" t="s">
        <v>1480</v>
      </c>
      <c r="Q24" s="1241"/>
      <c r="R24" s="1250"/>
      <c r="S24" s="1250"/>
      <c r="T24" s="1250"/>
      <c r="U24" s="643"/>
      <c r="AC24" s="1246"/>
      <c r="AE24" s="1246"/>
      <c r="AF24" s="1245"/>
      <c r="AL24" s="1246"/>
      <c r="AN24" s="1246"/>
      <c r="AO24" s="1245"/>
      <c r="AR24" s="439"/>
      <c r="AS24" s="439"/>
      <c r="AT24" s="439"/>
      <c r="AU24" s="439"/>
      <c r="AV24" s="439"/>
    </row>
    <row r="25" spans="1:48" s="1742" customFormat="1" ht="14.25" hidden="1" customHeight="1">
      <c r="A25" s="1029"/>
      <c r="B25" s="1029"/>
      <c r="C25" s="1029"/>
      <c r="D25" s="1029"/>
      <c r="E25" s="1029"/>
      <c r="F25" s="1029"/>
      <c r="G25" s="1029"/>
      <c r="H25" s="1029"/>
      <c r="I25" s="1029"/>
      <c r="J25" s="1029"/>
      <c r="K25" s="1029"/>
      <c r="L25" s="1029"/>
      <c r="M25" s="1210"/>
      <c r="N25" s="1211"/>
      <c r="O25" s="1211"/>
      <c r="P25" s="1211"/>
      <c r="Q25" s="1241"/>
      <c r="R25" s="1250"/>
      <c r="S25" s="1250"/>
      <c r="T25" s="1250"/>
      <c r="U25" s="643"/>
      <c r="AF25" s="1245"/>
      <c r="AO25" s="1245"/>
      <c r="AR25" s="439"/>
      <c r="AS25" s="439"/>
      <c r="AT25" s="439"/>
      <c r="AU25" s="439"/>
      <c r="AV25" s="439"/>
    </row>
    <row r="26" spans="1:48" s="1742" customFormat="1" ht="14.25" hidden="1" customHeight="1">
      <c r="A26" s="1029"/>
      <c r="B26" s="1029"/>
      <c r="C26" s="1029"/>
      <c r="D26" s="1029"/>
      <c r="E26" s="1029"/>
      <c r="F26" s="1029"/>
      <c r="G26" s="1029"/>
      <c r="H26" s="1029"/>
      <c r="I26" s="1029"/>
      <c r="J26" s="1029"/>
      <c r="K26" s="1029"/>
      <c r="L26" s="1029"/>
      <c r="M26" s="1210"/>
      <c r="N26" s="1211"/>
      <c r="O26" s="1211"/>
      <c r="P26" s="1194" t="s">
        <v>1481</v>
      </c>
      <c r="Q26" s="1241"/>
      <c r="R26" s="1250"/>
      <c r="S26" s="1250"/>
      <c r="T26" s="1250"/>
      <c r="U26" s="643"/>
      <c r="V26" s="1034" t="s">
        <v>1482</v>
      </c>
      <c r="AD26" s="111" t="s">
        <v>1483</v>
      </c>
      <c r="AF26" s="111" t="s">
        <v>1484</v>
      </c>
      <c r="AG26" s="1034" t="s">
        <v>1482</v>
      </c>
      <c r="AM26" s="111" t="s">
        <v>1485</v>
      </c>
      <c r="AO26" s="111" t="s">
        <v>1484</v>
      </c>
      <c r="AR26" s="439"/>
      <c r="AS26" s="439"/>
      <c r="AT26" s="439"/>
      <c r="AU26" s="439"/>
      <c r="AV26" s="439"/>
    </row>
    <row r="27" spans="1:48" ht="14.25" hidden="1" customHeight="1">
      <c r="P27" s="1194"/>
    </row>
    <row r="28" spans="1:48" ht="14.25" hidden="1" customHeight="1">
      <c r="P28" s="1194"/>
    </row>
    <row r="29" spans="1:48" ht="14.25" customHeight="1">
      <c r="R29" s="304"/>
      <c r="S29" s="304"/>
      <c r="T29" s="304"/>
      <c r="U29" s="1156"/>
      <c r="V29" s="289"/>
      <c r="W29" s="289"/>
      <c r="X29" s="437"/>
      <c r="Y29" s="437"/>
      <c r="Z29" s="437"/>
      <c r="AA29" s="437"/>
      <c r="AB29" s="437"/>
      <c r="AC29" s="437"/>
      <c r="AD29" s="437"/>
      <c r="AE29" s="437"/>
      <c r="AF29" s="437"/>
      <c r="AG29" s="437"/>
      <c r="AH29" s="437"/>
      <c r="AI29" s="437"/>
      <c r="AJ29" s="437"/>
      <c r="AK29" s="437"/>
      <c r="AL29" s="437"/>
      <c r="AM29" s="437"/>
      <c r="AN29" s="437"/>
      <c r="AO29" s="437"/>
    </row>
    <row r="30" spans="1:48" ht="64.5" customHeight="1">
      <c r="R30" s="304"/>
      <c r="S30" s="304"/>
      <c r="T30" s="304"/>
      <c r="U30" s="2065" t="str">
        <f>IF(TEMPLATE_GROUP="P",PT_P_FORM_HEAT_6_NAME_FORM,PT_R_FORM_HEAT_23_NAME_FORM)</f>
        <v>Форма 23. Информация о расчетной величине тарифов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 о расчетной величине тарифов на горячую воду, поставляемую единой теплоснабжающей организацией в ценовых зонах теплоснабжения потребителям с использованием открытых систем теплоснабжения (горячего водоснабжения), установленных в виде формулы двухкомпонентного тарифа с использованием компонента на теплоноситель и компонента на тепловую энергию, в том числе о числовых значениях компонентов указанного тарифа</v>
      </c>
      <c r="V30" s="2065"/>
      <c r="W30" s="2065"/>
      <c r="X30" s="2065"/>
      <c r="Y30" s="2065"/>
      <c r="Z30" s="2065"/>
      <c r="AA30" s="2065"/>
      <c r="AB30" s="2065"/>
      <c r="AC30" s="2065"/>
      <c r="AD30" s="2065"/>
      <c r="AE30" s="2065"/>
      <c r="AF30" s="2065"/>
      <c r="AG30" s="2065"/>
      <c r="AH30" s="2065"/>
      <c r="AI30" s="2065"/>
      <c r="AJ30" s="2065"/>
      <c r="AK30" s="2065"/>
      <c r="AL30" s="2065"/>
      <c r="AM30" s="2065"/>
      <c r="AN30" s="2065"/>
      <c r="AO30" s="1114"/>
    </row>
    <row r="31" spans="1:48" ht="14.25" customHeight="1">
      <c r="R31" s="304"/>
      <c r="S31" s="304"/>
      <c r="T31" s="304"/>
      <c r="U31" s="2088" t="str">
        <f>IF(org=0,"Не определено",org)</f>
        <v>МУП г. Астрахани "Коммунэнерго"</v>
      </c>
      <c r="V31" s="2088"/>
      <c r="W31" s="2088"/>
      <c r="X31" s="2088"/>
      <c r="Y31" s="2088"/>
      <c r="Z31" s="2088"/>
      <c r="AA31" s="2088"/>
      <c r="AB31" s="2088"/>
      <c r="AC31" s="2088"/>
      <c r="AD31" s="2088"/>
      <c r="AE31" s="2088"/>
      <c r="AF31" s="2088"/>
      <c r="AG31" s="2088"/>
      <c r="AH31" s="2088"/>
      <c r="AI31" s="2088"/>
      <c r="AJ31" s="2088"/>
      <c r="AK31" s="2088"/>
      <c r="AL31" s="2088"/>
      <c r="AM31" s="2088"/>
      <c r="AN31" s="2088"/>
      <c r="AO31" s="1114"/>
    </row>
    <row r="32" spans="1:48" ht="14.25" hidden="1" customHeight="1">
      <c r="R32" s="304"/>
      <c r="S32" s="304"/>
      <c r="T32" s="304"/>
      <c r="U32" s="1156"/>
      <c r="V32" s="289"/>
      <c r="W32" s="289"/>
      <c r="X32" s="248"/>
      <c r="Y32" s="248"/>
      <c r="Z32" s="248"/>
      <c r="AA32" s="248"/>
      <c r="AB32" s="248"/>
      <c r="AC32" s="248"/>
      <c r="AD32" s="248"/>
      <c r="AE32" s="248"/>
      <c r="AF32" s="248"/>
      <c r="AG32" s="248"/>
      <c r="AH32" s="248"/>
      <c r="AI32" s="248"/>
      <c r="AJ32" s="248"/>
      <c r="AK32" s="248"/>
      <c r="AL32" s="248"/>
      <c r="AM32" s="248"/>
      <c r="AN32" s="248"/>
      <c r="AO32" s="248"/>
      <c r="AP32" s="437"/>
    </row>
    <row r="33" spans="1:48" s="1933" customFormat="1" ht="25.5" hidden="1" customHeight="1">
      <c r="A33" s="1120"/>
      <c r="B33" s="1120"/>
      <c r="C33" s="1120"/>
      <c r="D33" s="1120"/>
      <c r="E33" s="1120"/>
      <c r="F33" s="1120"/>
      <c r="G33" s="1120"/>
      <c r="H33" s="1120"/>
      <c r="I33" s="1120"/>
      <c r="J33" s="1120"/>
      <c r="K33" s="1120"/>
      <c r="L33" s="1120"/>
      <c r="M33" s="1259"/>
      <c r="N33" s="1120"/>
      <c r="O33" s="1120"/>
      <c r="P33" s="1120"/>
      <c r="U33" s="2213" t="s">
        <v>38</v>
      </c>
      <c r="V33" s="2213"/>
      <c r="W33" s="1251"/>
      <c r="X33" s="2214" t="str">
        <f>IF(TITLE_NAME_OR_PR_CHANGE="",IF(TITLE_NAME_OR_PR="","",TITLE_NAME_OR_PR),TITLE_NAME_OR_PR_CHANGE)</f>
        <v/>
      </c>
      <c r="Y33" s="2214"/>
      <c r="Z33" s="2214"/>
      <c r="AA33" s="2214"/>
      <c r="AB33" s="2214"/>
      <c r="AC33" s="2214"/>
      <c r="AD33" s="2214"/>
      <c r="AE33" s="2214"/>
      <c r="AF33" s="253"/>
      <c r="AG33" s="2214" t="str">
        <f>IF(TITLE_NAME_OR_PR_CHANGE="",IF(TITLE_NAME_OR_PR="","",TITLE_NAME_OR_PR),TITLE_NAME_OR_PR_CHANGE)</f>
        <v/>
      </c>
      <c r="AH33" s="2214"/>
      <c r="AI33" s="2214"/>
      <c r="AJ33" s="2214"/>
      <c r="AK33" s="2214"/>
      <c r="AL33" s="2214"/>
      <c r="AM33" s="2214"/>
      <c r="AN33" s="2214"/>
      <c r="AO33" s="253"/>
      <c r="AP33" s="253"/>
      <c r="AQ33" s="199"/>
      <c r="AR33" s="295"/>
      <c r="AS33" s="295"/>
      <c r="AT33" s="295"/>
      <c r="AU33" s="295"/>
      <c r="AV33" s="295"/>
    </row>
    <row r="34" spans="1:48" s="1933" customFormat="1" ht="18.75" hidden="1" customHeight="1">
      <c r="A34" s="1120"/>
      <c r="B34" s="1120"/>
      <c r="C34" s="1120"/>
      <c r="D34" s="1120"/>
      <c r="E34" s="1120"/>
      <c r="F34" s="1120"/>
      <c r="G34" s="1120"/>
      <c r="H34" s="1120"/>
      <c r="I34" s="1120"/>
      <c r="J34" s="1120"/>
      <c r="K34" s="1120"/>
      <c r="L34" s="1120"/>
      <c r="M34" s="1259"/>
      <c r="N34" s="1120"/>
      <c r="O34" s="1120"/>
      <c r="P34" s="1120"/>
      <c r="U34" s="2213" t="s">
        <v>1486</v>
      </c>
      <c r="V34" s="2213"/>
      <c r="W34" s="1251"/>
      <c r="X34" s="2214" t="str">
        <f>IF(TITLE_DATE_CHANGE_PERIOD="",IF(TITLE_DATE_PR="","",TITLE_DATE_PR),TITLE_DATE_CHANGE_PERIOD)</f>
        <v/>
      </c>
      <c r="Y34" s="2214"/>
      <c r="Z34" s="2214"/>
      <c r="AA34" s="2214"/>
      <c r="AB34" s="2214"/>
      <c r="AC34" s="2214"/>
      <c r="AD34" s="2214"/>
      <c r="AE34" s="2214"/>
      <c r="AF34" s="253"/>
      <c r="AG34" s="2214" t="str">
        <f>IF(TITLE_DATE_CHANGE_PERIOD="",IF(TITLE_DATE_PR="","",TITLE_DATE_PR),TITLE_DATE_CHANGE_PERIOD)</f>
        <v/>
      </c>
      <c r="AH34" s="2214"/>
      <c r="AI34" s="2214"/>
      <c r="AJ34" s="2214"/>
      <c r="AK34" s="2214"/>
      <c r="AL34" s="2214"/>
      <c r="AM34" s="2214"/>
      <c r="AN34" s="2214"/>
      <c r="AO34" s="253"/>
      <c r="AP34" s="253"/>
      <c r="AQ34" s="199"/>
      <c r="AR34" s="295"/>
      <c r="AS34" s="295"/>
      <c r="AT34" s="295"/>
      <c r="AU34" s="295"/>
      <c r="AV34" s="295"/>
    </row>
    <row r="35" spans="1:48" s="1933" customFormat="1" ht="18.75" hidden="1" customHeight="1">
      <c r="A35" s="1120"/>
      <c r="B35" s="1120"/>
      <c r="C35" s="1120"/>
      <c r="D35" s="1120"/>
      <c r="E35" s="1120"/>
      <c r="F35" s="1120"/>
      <c r="G35" s="1120"/>
      <c r="H35" s="1120"/>
      <c r="I35" s="1120"/>
      <c r="J35" s="1120"/>
      <c r="K35" s="1120"/>
      <c r="L35" s="1120"/>
      <c r="M35" s="1259"/>
      <c r="N35" s="1120"/>
      <c r="O35" s="1120"/>
      <c r="P35" s="1120"/>
      <c r="U35" s="2213" t="s">
        <v>1487</v>
      </c>
      <c r="V35" s="2213"/>
      <c r="W35" s="1251"/>
      <c r="X35" s="2214" t="str">
        <f>IF(TITLE_NUMBER_PR_CHANGE="",IF(TITLE_NUMBER_PR="","",TITLE_NUMBER_PR),TITLE_NUMBER_PR_CHANGE)</f>
        <v/>
      </c>
      <c r="Y35" s="2214"/>
      <c r="Z35" s="2214"/>
      <c r="AA35" s="2214"/>
      <c r="AB35" s="2214"/>
      <c r="AC35" s="2214"/>
      <c r="AD35" s="2214"/>
      <c r="AE35" s="2214"/>
      <c r="AF35" s="253"/>
      <c r="AG35" s="2214" t="str">
        <f>IF(TITLE_NUMBER_PR_CHANGE="",IF(TITLE_NUMBER_PR="","",TITLE_NUMBER_PR),TITLE_NUMBER_PR_CHANGE)</f>
        <v/>
      </c>
      <c r="AH35" s="2214"/>
      <c r="AI35" s="2214"/>
      <c r="AJ35" s="2214"/>
      <c r="AK35" s="2214"/>
      <c r="AL35" s="2214"/>
      <c r="AM35" s="2214"/>
      <c r="AN35" s="2214"/>
      <c r="AO35" s="253"/>
      <c r="AP35" s="253"/>
      <c r="AQ35" s="199"/>
      <c r="AR35" s="295"/>
      <c r="AS35" s="295"/>
      <c r="AT35" s="295"/>
      <c r="AU35" s="295"/>
      <c r="AV35" s="295"/>
    </row>
    <row r="36" spans="1:48" s="1933" customFormat="1" ht="18.75" hidden="1" customHeight="1">
      <c r="A36" s="1120"/>
      <c r="B36" s="1120"/>
      <c r="C36" s="1120"/>
      <c r="D36" s="1120"/>
      <c r="E36" s="1120"/>
      <c r="F36" s="1120"/>
      <c r="G36" s="1120"/>
      <c r="H36" s="1120"/>
      <c r="I36" s="1120"/>
      <c r="J36" s="1120"/>
      <c r="K36" s="1120"/>
      <c r="L36" s="1120"/>
      <c r="M36" s="1259"/>
      <c r="N36" s="1120"/>
      <c r="O36" s="1120"/>
      <c r="P36" s="1120"/>
      <c r="U36" s="2213" t="s">
        <v>39</v>
      </c>
      <c r="V36" s="2213"/>
      <c r="W36" s="1251"/>
      <c r="X36" s="2214" t="str">
        <f>IF(TITLE_IST_PUB_CHANGE="",IF(TITLE_IST_PUB="","",TITLE_IST_PUB),TITLE_IST_PUB_CHANGE)</f>
        <v/>
      </c>
      <c r="Y36" s="2214"/>
      <c r="Z36" s="2214"/>
      <c r="AA36" s="2214"/>
      <c r="AB36" s="2214"/>
      <c r="AC36" s="2214"/>
      <c r="AD36" s="2214"/>
      <c r="AE36" s="2214"/>
      <c r="AF36" s="253"/>
      <c r="AG36" s="2214" t="str">
        <f>IF(TITLE_IST_PUB_CHANGE="",IF(TITLE_IST_PUB="","",TITLE_IST_PUB),TITLE_IST_PUB_CHANGE)</f>
        <v/>
      </c>
      <c r="AH36" s="2214"/>
      <c r="AI36" s="2214"/>
      <c r="AJ36" s="2214"/>
      <c r="AK36" s="2214"/>
      <c r="AL36" s="2214"/>
      <c r="AM36" s="2214"/>
      <c r="AN36" s="2214"/>
      <c r="AO36" s="253"/>
      <c r="AP36" s="253"/>
      <c r="AQ36" s="199"/>
      <c r="AR36" s="295"/>
      <c r="AS36" s="295"/>
      <c r="AT36" s="295"/>
      <c r="AU36" s="295"/>
      <c r="AV36" s="295"/>
    </row>
    <row r="37" spans="1:48" ht="14.25" hidden="1" customHeight="1">
      <c r="R37" s="304"/>
      <c r="S37" s="304"/>
      <c r="T37" s="304"/>
      <c r="U37" s="1156"/>
      <c r="V37" s="289"/>
      <c r="W37" s="289"/>
      <c r="X37" s="248"/>
      <c r="Y37" s="248"/>
      <c r="Z37" s="248"/>
      <c r="AA37" s="248"/>
      <c r="AB37" s="248"/>
      <c r="AC37" s="248"/>
      <c r="AD37" s="248"/>
      <c r="AE37" s="248"/>
      <c r="AF37" s="248"/>
      <c r="AG37" s="248"/>
      <c r="AH37" s="248"/>
      <c r="AI37" s="248"/>
      <c r="AJ37" s="248"/>
      <c r="AK37" s="248"/>
      <c r="AL37" s="248"/>
      <c r="AM37" s="248"/>
      <c r="AN37" s="248"/>
      <c r="AO37" s="248"/>
      <c r="AP37" s="437"/>
    </row>
    <row r="38" spans="1:48" s="1933" customFormat="1" ht="18.75" hidden="1" customHeight="1">
      <c r="A38" s="1120"/>
      <c r="B38" s="1120"/>
      <c r="C38" s="1120"/>
      <c r="D38" s="1120"/>
      <c r="E38" s="1120"/>
      <c r="F38" s="1120"/>
      <c r="G38" s="1120"/>
      <c r="H38" s="1120"/>
      <c r="I38" s="1120"/>
      <c r="J38" s="1120"/>
      <c r="K38" s="1120"/>
      <c r="L38" s="1120"/>
      <c r="M38" s="1259"/>
      <c r="N38" s="1120"/>
      <c r="O38" s="1120"/>
      <c r="P38" s="1120"/>
      <c r="U38" s="2213" t="s">
        <v>1488</v>
      </c>
      <c r="V38" s="2213"/>
      <c r="W38" s="1251"/>
      <c r="X38" s="2214" t="str">
        <f>IF(TITLE_DATE_CHANGE_PERIOD="",IF(TITLE_DATE_PR="","",TITLE_DATE_PR),TITLE_DATE_CHANGE_PERIOD)</f>
        <v/>
      </c>
      <c r="Y38" s="2214"/>
      <c r="Z38" s="2214"/>
      <c r="AA38" s="2214"/>
      <c r="AB38" s="2214"/>
      <c r="AC38" s="2214"/>
      <c r="AD38" s="2214"/>
      <c r="AE38" s="2214"/>
      <c r="AF38" s="253"/>
      <c r="AG38" s="2214" t="str">
        <f>IF(TITLE_DATE_CHANGE_PERIOD="",IF(TITLE_DATE_PR="","",TITLE_DATE_PR),TITLE_DATE_CHANGE_PERIOD)</f>
        <v/>
      </c>
      <c r="AH38" s="2214"/>
      <c r="AI38" s="2214"/>
      <c r="AJ38" s="2214"/>
      <c r="AK38" s="2214"/>
      <c r="AL38" s="2214"/>
      <c r="AM38" s="2214"/>
      <c r="AN38" s="2214"/>
      <c r="AO38" s="253"/>
      <c r="AP38" s="253"/>
      <c r="AQ38" s="199"/>
      <c r="AR38" s="295"/>
      <c r="AS38" s="295"/>
      <c r="AT38" s="295"/>
      <c r="AU38" s="295"/>
      <c r="AV38" s="295"/>
    </row>
    <row r="39" spans="1:48" s="1933" customFormat="1" ht="18.75" hidden="1" customHeight="1">
      <c r="A39" s="1120"/>
      <c r="B39" s="1120"/>
      <c r="C39" s="1120"/>
      <c r="D39" s="1120"/>
      <c r="E39" s="1120"/>
      <c r="F39" s="1120"/>
      <c r="G39" s="1120"/>
      <c r="H39" s="1120"/>
      <c r="I39" s="1120"/>
      <c r="J39" s="1120"/>
      <c r="K39" s="1120"/>
      <c r="L39" s="1120"/>
      <c r="M39" s="1259"/>
      <c r="N39" s="1120"/>
      <c r="O39" s="1120"/>
      <c r="P39" s="1120"/>
      <c r="U39" s="2213" t="s">
        <v>1489</v>
      </c>
      <c r="V39" s="2213"/>
      <c r="W39" s="1251"/>
      <c r="X39" s="2214" t="str">
        <f>IF(TITLE_NUMBER_PR_CHANGE="",IF(TITLE_NUMBER_PR="","",TITLE_NUMBER_PR),TITLE_NUMBER_PR_CHANGE)</f>
        <v/>
      </c>
      <c r="Y39" s="2214"/>
      <c r="Z39" s="2214"/>
      <c r="AA39" s="2214"/>
      <c r="AB39" s="2214"/>
      <c r="AC39" s="2214"/>
      <c r="AD39" s="2214"/>
      <c r="AE39" s="2214"/>
      <c r="AF39" s="253"/>
      <c r="AG39" s="2214" t="str">
        <f>IF(TITLE_NUMBER_PR_CHANGE="",IF(TITLE_NUMBER_PR="","",TITLE_NUMBER_PR),TITLE_NUMBER_PR_CHANGE)</f>
        <v/>
      </c>
      <c r="AH39" s="2214"/>
      <c r="AI39" s="2214"/>
      <c r="AJ39" s="2214"/>
      <c r="AK39" s="2214"/>
      <c r="AL39" s="2214"/>
      <c r="AM39" s="2214"/>
      <c r="AN39" s="2214"/>
      <c r="AO39" s="253"/>
      <c r="AP39" s="253"/>
      <c r="AQ39" s="199"/>
      <c r="AR39" s="295"/>
      <c r="AS39" s="295"/>
      <c r="AT39" s="295"/>
      <c r="AU39" s="295"/>
      <c r="AV39" s="295"/>
    </row>
    <row r="40" spans="1:48" s="1933" customFormat="1" ht="0" hidden="1" customHeight="1">
      <c r="A40" s="1120"/>
      <c r="B40" s="1120"/>
      <c r="C40" s="1120"/>
      <c r="D40" s="1120"/>
      <c r="E40" s="1120"/>
      <c r="F40" s="1120"/>
      <c r="G40" s="1120"/>
      <c r="H40" s="1120"/>
      <c r="I40" s="1120"/>
      <c r="J40" s="1120"/>
      <c r="K40" s="1120"/>
      <c r="L40" s="1120"/>
      <c r="M40" s="1259"/>
      <c r="N40" s="1120"/>
      <c r="O40" s="1120"/>
      <c r="P40" s="1120"/>
      <c r="U40" s="250"/>
      <c r="V40" s="250"/>
      <c r="W40" s="1223"/>
      <c r="X40" s="253"/>
      <c r="Y40" s="253"/>
      <c r="Z40" s="253"/>
      <c r="AA40" s="253"/>
      <c r="AB40" s="253"/>
      <c r="AC40" s="253"/>
      <c r="AD40" s="253"/>
      <c r="AE40" s="253"/>
      <c r="AF40" s="197" t="s">
        <v>1490</v>
      </c>
      <c r="AG40" s="253"/>
      <c r="AH40" s="253"/>
      <c r="AI40" s="253"/>
      <c r="AJ40" s="253"/>
      <c r="AK40" s="253"/>
      <c r="AL40" s="253"/>
      <c r="AM40" s="253"/>
      <c r="AN40" s="253"/>
      <c r="AO40" s="197" t="s">
        <v>1490</v>
      </c>
      <c r="AR40" s="295"/>
      <c r="AS40" s="295"/>
      <c r="AT40" s="295"/>
      <c r="AU40" s="295"/>
      <c r="AV40" s="295"/>
    </row>
    <row r="41" spans="1:48" ht="14.25" customHeight="1">
      <c r="R41" s="304"/>
      <c r="S41" s="304"/>
      <c r="T41" s="304"/>
      <c r="U41" s="1156"/>
      <c r="V41" s="289"/>
      <c r="W41" s="1115"/>
      <c r="X41" s="2232"/>
      <c r="Y41" s="2232"/>
      <c r="Z41" s="2232"/>
      <c r="AA41" s="2232"/>
      <c r="AB41" s="2232"/>
      <c r="AC41" s="2232"/>
      <c r="AD41" s="2232"/>
      <c r="AE41" s="2232"/>
      <c r="AF41" s="2232"/>
      <c r="AG41" s="2232"/>
      <c r="AH41" s="2232"/>
      <c r="AI41" s="2232"/>
      <c r="AJ41" s="2232"/>
      <c r="AK41" s="2232"/>
      <c r="AL41" s="2232"/>
      <c r="AM41" s="2232"/>
      <c r="AN41" s="2232"/>
      <c r="AO41" s="2232"/>
    </row>
    <row r="42" spans="1:48" ht="14.25" customHeight="1">
      <c r="R42" s="304"/>
      <c r="S42" s="304"/>
      <c r="T42" s="304"/>
      <c r="U42" s="2007" t="s">
        <v>292</v>
      </c>
      <c r="V42" s="2007"/>
      <c r="W42" s="2007"/>
      <c r="X42" s="2007"/>
      <c r="Y42" s="2007"/>
      <c r="Z42" s="2007"/>
      <c r="AA42" s="2007"/>
      <c r="AB42" s="2007"/>
      <c r="AC42" s="2007"/>
      <c r="AD42" s="2007"/>
      <c r="AE42" s="2007"/>
      <c r="AF42" s="2007"/>
      <c r="AG42" s="2007"/>
      <c r="AH42" s="2007"/>
      <c r="AI42" s="2007"/>
      <c r="AJ42" s="2007"/>
      <c r="AK42" s="2007"/>
      <c r="AL42" s="2007"/>
      <c r="AM42" s="2007"/>
      <c r="AN42" s="2007"/>
      <c r="AO42" s="2007"/>
      <c r="AP42" s="2007"/>
      <c r="AQ42" s="2007" t="s">
        <v>293</v>
      </c>
    </row>
    <row r="43" spans="1:48" ht="14.25" customHeight="1">
      <c r="R43" s="304"/>
      <c r="S43" s="304"/>
      <c r="T43" s="304"/>
      <c r="U43" s="2233" t="s">
        <v>87</v>
      </c>
      <c r="V43" s="2097" t="s">
        <v>1491</v>
      </c>
      <c r="W43" s="219"/>
      <c r="X43" s="2234" t="s">
        <v>1492</v>
      </c>
      <c r="Y43" s="2248"/>
      <c r="Z43" s="2248"/>
      <c r="AA43" s="2248"/>
      <c r="AB43" s="2248"/>
      <c r="AC43" s="2235"/>
      <c r="AD43" s="2235"/>
      <c r="AE43" s="2236"/>
      <c r="AF43" s="2237" t="s">
        <v>1493</v>
      </c>
      <c r="AG43" s="2234" t="s">
        <v>1492</v>
      </c>
      <c r="AH43" s="2248"/>
      <c r="AI43" s="2248"/>
      <c r="AJ43" s="2248"/>
      <c r="AK43" s="2248"/>
      <c r="AL43" s="2235"/>
      <c r="AM43" s="2235"/>
      <c r="AN43" s="2236"/>
      <c r="AO43" s="2237" t="s">
        <v>1494</v>
      </c>
      <c r="AP43" s="2240" t="s">
        <v>1495</v>
      </c>
      <c r="AQ43" s="2007"/>
    </row>
    <row r="44" spans="1:48" ht="33.75" customHeight="1">
      <c r="R44" s="304"/>
      <c r="S44" s="304"/>
      <c r="T44" s="304"/>
      <c r="U44" s="2233"/>
      <c r="V44" s="2097"/>
      <c r="W44" s="924"/>
      <c r="X44" s="2067" t="s">
        <v>1528</v>
      </c>
      <c r="Y44" s="2007" t="s">
        <v>1529</v>
      </c>
      <c r="Z44" s="2007"/>
      <c r="AA44" s="2007"/>
      <c r="AB44" s="2007"/>
      <c r="AC44" s="2067" t="s">
        <v>1499</v>
      </c>
      <c r="AD44" s="2253"/>
      <c r="AE44" s="2068"/>
      <c r="AF44" s="2238"/>
      <c r="AG44" s="2067" t="s">
        <v>1528</v>
      </c>
      <c r="AH44" s="2007" t="s">
        <v>1529</v>
      </c>
      <c r="AI44" s="2007"/>
      <c r="AJ44" s="2007"/>
      <c r="AK44" s="2007"/>
      <c r="AL44" s="2067" t="s">
        <v>1499</v>
      </c>
      <c r="AM44" s="2253"/>
      <c r="AN44" s="2068"/>
      <c r="AO44" s="2238"/>
      <c r="AP44" s="2241"/>
      <c r="AQ44" s="2007"/>
    </row>
    <row r="45" spans="1:48" ht="14.25" customHeight="1">
      <c r="R45" s="304"/>
      <c r="S45" s="304"/>
      <c r="T45" s="304"/>
      <c r="U45" s="2233"/>
      <c r="V45" s="2097"/>
      <c r="W45" s="924"/>
      <c r="X45" s="2069"/>
      <c r="Y45" s="2104" t="s">
        <v>1530</v>
      </c>
      <c r="Z45" s="2103" t="s">
        <v>1531</v>
      </c>
      <c r="AA45" s="2116"/>
      <c r="AB45" s="2117"/>
      <c r="AC45" s="2072"/>
      <c r="AD45" s="2254"/>
      <c r="AE45" s="2073"/>
      <c r="AF45" s="2238"/>
      <c r="AG45" s="2069"/>
      <c r="AH45" s="2104" t="s">
        <v>1530</v>
      </c>
      <c r="AI45" s="2103" t="s">
        <v>1531</v>
      </c>
      <c r="AJ45" s="2116"/>
      <c r="AK45" s="2117"/>
      <c r="AL45" s="2072"/>
      <c r="AM45" s="2254"/>
      <c r="AN45" s="2073"/>
      <c r="AO45" s="2238"/>
      <c r="AP45" s="2241"/>
      <c r="AQ45" s="2007"/>
    </row>
    <row r="46" spans="1:48" ht="25.5" customHeight="1">
      <c r="R46" s="304"/>
      <c r="S46" s="304"/>
      <c r="T46" s="304"/>
      <c r="U46" s="2233"/>
      <c r="V46" s="2097"/>
      <c r="W46" s="924"/>
      <c r="X46" s="2069"/>
      <c r="Y46" s="2252"/>
      <c r="Z46" s="2104" t="s">
        <v>1532</v>
      </c>
      <c r="AA46" s="2103" t="s">
        <v>1533</v>
      </c>
      <c r="AB46" s="2117"/>
      <c r="AC46" s="2104" t="s">
        <v>1509</v>
      </c>
      <c r="AD46" s="2108" t="s">
        <v>1510</v>
      </c>
      <c r="AE46" s="2106"/>
      <c r="AF46" s="2238"/>
      <c r="AG46" s="2069"/>
      <c r="AH46" s="2252"/>
      <c r="AI46" s="2104" t="s">
        <v>1532</v>
      </c>
      <c r="AJ46" s="2103" t="s">
        <v>1533</v>
      </c>
      <c r="AK46" s="2117"/>
      <c r="AL46" s="2104" t="s">
        <v>1509</v>
      </c>
      <c r="AM46" s="2108" t="s">
        <v>1510</v>
      </c>
      <c r="AN46" s="2106"/>
      <c r="AO46" s="2238"/>
      <c r="AP46" s="2241"/>
      <c r="AQ46" s="2007"/>
    </row>
    <row r="47" spans="1:48" ht="62.25" customHeight="1">
      <c r="A47" s="1140"/>
      <c r="B47" s="1140" t="s">
        <v>136</v>
      </c>
      <c r="C47" s="1140" t="s">
        <v>137</v>
      </c>
      <c r="D47" s="1140" t="s">
        <v>138</v>
      </c>
      <c r="E47" s="1194" t="s">
        <v>1500</v>
      </c>
      <c r="F47" s="1194" t="s">
        <v>1501</v>
      </c>
      <c r="G47" s="1194" t="s">
        <v>1502</v>
      </c>
      <c r="H47" s="1194" t="s">
        <v>1503</v>
      </c>
      <c r="I47" s="1194" t="s">
        <v>1504</v>
      </c>
      <c r="J47" s="1194" t="s">
        <v>1505</v>
      </c>
      <c r="K47" s="1194" t="s">
        <v>1506</v>
      </c>
      <c r="L47" s="1194" t="s">
        <v>1534</v>
      </c>
      <c r="M47" s="1194" t="s">
        <v>1481</v>
      </c>
      <c r="R47" s="304"/>
      <c r="S47" s="304"/>
      <c r="T47" s="304"/>
      <c r="U47" s="2233"/>
      <c r="V47" s="2097"/>
      <c r="W47" s="220"/>
      <c r="X47" s="2072"/>
      <c r="Y47" s="2105"/>
      <c r="Z47" s="2105"/>
      <c r="AA47" s="1090" t="s">
        <v>1535</v>
      </c>
      <c r="AB47" s="1090" t="s">
        <v>1536</v>
      </c>
      <c r="AC47" s="2105"/>
      <c r="AD47" s="2109"/>
      <c r="AE47" s="2107"/>
      <c r="AF47" s="2239"/>
      <c r="AG47" s="2072"/>
      <c r="AH47" s="2105"/>
      <c r="AI47" s="2105"/>
      <c r="AJ47" s="1090" t="s">
        <v>1535</v>
      </c>
      <c r="AK47" s="1090" t="s">
        <v>1536</v>
      </c>
      <c r="AL47" s="2105"/>
      <c r="AM47" s="2109"/>
      <c r="AN47" s="2107"/>
      <c r="AO47" s="2239"/>
      <c r="AP47" s="2242"/>
      <c r="AQ47" s="2007"/>
    </row>
    <row r="48" spans="1:48" s="1708" customFormat="1" ht="11.25" hidden="1" customHeight="1">
      <c r="A48" s="1140"/>
      <c r="B48" s="1140"/>
      <c r="C48" s="1140"/>
      <c r="D48" s="1140"/>
      <c r="E48" s="1140"/>
      <c r="F48" s="1140"/>
      <c r="G48" s="1140"/>
      <c r="H48" s="1140"/>
      <c r="I48" s="1140"/>
      <c r="J48" s="1140"/>
      <c r="K48" s="1140"/>
      <c r="L48" s="1140"/>
      <c r="M48" s="1194"/>
      <c r="N48" s="1211"/>
      <c r="O48" s="1211"/>
      <c r="P48" s="1211"/>
      <c r="Q48" s="1117"/>
      <c r="R48" s="1118"/>
      <c r="S48" s="1133">
        <v>1</v>
      </c>
      <c r="T48" s="1133"/>
      <c r="U48" s="1158" t="s">
        <v>108</v>
      </c>
      <c r="V48" s="1134" t="s">
        <v>109</v>
      </c>
      <c r="W48" s="1116" t="str">
        <f ca="1">OFFSET(W48,0,-1)</f>
        <v>2</v>
      </c>
      <c r="X48" s="1218">
        <f ca="1">OFFSET(X48,0,-1)+1</f>
        <v>3</v>
      </c>
      <c r="Y48" s="1224"/>
      <c r="Z48" s="1224"/>
      <c r="AA48" s="1224">
        <f ca="1">OFFSET(AA48,0,-1)+1</f>
        <v>1</v>
      </c>
      <c r="AB48" s="1224">
        <f ca="1">OFFSET(AB48,0,-1)+1</f>
        <v>2</v>
      </c>
      <c r="AC48" s="1218">
        <f ca="1">OFFSET(AC48,0,-1)+1</f>
        <v>3</v>
      </c>
      <c r="AD48" s="2231">
        <f ca="1">OFFSET(AD48,0,-1)+1</f>
        <v>4</v>
      </c>
      <c r="AE48" s="2231"/>
      <c r="AF48" s="1218">
        <f ca="1">OFFSET(AF48,0,-2)+1</f>
        <v>5</v>
      </c>
      <c r="AG48" s="1218">
        <f ca="1">OFFSET(AG48,0,-1)+1</f>
        <v>6</v>
      </c>
      <c r="AH48" s="1218"/>
      <c r="AI48" s="1218"/>
      <c r="AJ48" s="1218">
        <f ca="1">OFFSET(AJ48,0,-1)+1</f>
        <v>1</v>
      </c>
      <c r="AK48" s="1218">
        <f ca="1">OFFSET(AK48,0,-1)+1</f>
        <v>2</v>
      </c>
      <c r="AL48" s="1218">
        <f ca="1">OFFSET(AL48,0,-1)+1</f>
        <v>3</v>
      </c>
      <c r="AM48" s="2231">
        <f ca="1">OFFSET(AM48,0,-1)+1</f>
        <v>4</v>
      </c>
      <c r="AN48" s="2231"/>
      <c r="AO48" s="1218">
        <f ca="1">OFFSET(AO48,0,-2)+1</f>
        <v>5</v>
      </c>
      <c r="AP48" s="1116">
        <f ca="1">OFFSET(AP48,0,-1)</f>
        <v>5</v>
      </c>
      <c r="AQ48" s="1218">
        <f ca="1">OFFSET(AQ48,0,-1)+1</f>
        <v>6</v>
      </c>
      <c r="AR48" s="439"/>
      <c r="AS48" s="439"/>
      <c r="AT48" s="439"/>
      <c r="AU48" s="439"/>
      <c r="AV48" s="439"/>
    </row>
    <row r="49" spans="1:48" ht="21" customHeight="1">
      <c r="A49" s="1147" t="s">
        <v>177</v>
      </c>
      <c r="B49" s="1147"/>
      <c r="C49" s="1147"/>
      <c r="D49" s="1147"/>
      <c r="E49" s="2255">
        <v>1</v>
      </c>
      <c r="F49" s="1147"/>
      <c r="G49" s="1147"/>
      <c r="H49" s="1147"/>
      <c r="I49" s="1147"/>
      <c r="J49" s="1147"/>
      <c r="K49" s="1147"/>
      <c r="L49" s="1147"/>
      <c r="M49" s="1194"/>
      <c r="N49" s="602"/>
      <c r="O49" s="602"/>
      <c r="P49" s="602"/>
      <c r="Q49" s="285"/>
      <c r="R49" s="284"/>
      <c r="S49" s="284"/>
      <c r="T49" s="279"/>
      <c r="U49" s="1219">
        <f>INDEX(PT_DIFFERENTIATION_NUM_NTAR,MATCH(A49,PT_DIFFERENTIATION_NTAR_ID,0))</f>
        <v>0</v>
      </c>
      <c r="V49" s="216" t="s">
        <v>124</v>
      </c>
      <c r="W49" s="218"/>
      <c r="X49" s="2215"/>
      <c r="Y49" s="2216"/>
      <c r="Z49" s="2216"/>
      <c r="AA49" s="2216"/>
      <c r="AB49" s="2216"/>
      <c r="AC49" s="2216"/>
      <c r="AD49" s="2216"/>
      <c r="AE49" s="2216"/>
      <c r="AF49" s="2217"/>
      <c r="AG49" s="2215" t="str">
        <f>INDEX(PT_DIFFERENTIATION_NTAR,MATCH(A49,PT_DIFFERENTIATION_NTAR_ID,0))</f>
        <v/>
      </c>
      <c r="AH49" s="2216"/>
      <c r="AI49" s="2216"/>
      <c r="AJ49" s="2216"/>
      <c r="AK49" s="2216"/>
      <c r="AL49" s="2216"/>
      <c r="AM49" s="2216"/>
      <c r="AN49" s="2216"/>
      <c r="AO49" s="2216"/>
      <c r="AP49" s="2217"/>
      <c r="AQ49" s="1138" t="str">
        <f>"Указывается наименование тарифа в случае "&amp;IF(TEMPLATE_GROUP="P","утверждения","расчёта")&amp;" нескольких тарифов.
В случае наличия нескольких тарифов информация по ним указывается в отдельных строках."</f>
        <v>Указывается наименование тарифа в случае расчёта нескольких тарифов.
В случае наличия нескольких тарифов информация по ним указывается в отдельных строках.</v>
      </c>
      <c r="AS49" s="428"/>
      <c r="AT49" s="428" t="str">
        <f t="shared" ref="AT49:AT65" si="2">IF(V49="","",V49)</f>
        <v>Наименование тарифа</v>
      </c>
      <c r="AU49" s="428"/>
      <c r="AV49" s="428"/>
    </row>
    <row r="50" spans="1:48" ht="21" customHeight="1">
      <c r="A50" s="1147" t="s">
        <v>177</v>
      </c>
      <c r="B50" s="1147" t="s">
        <v>178</v>
      </c>
      <c r="C50" s="1147"/>
      <c r="D50" s="1147"/>
      <c r="E50" s="2256"/>
      <c r="F50" s="2255">
        <v>1</v>
      </c>
      <c r="G50" s="1147"/>
      <c r="H50" s="1147"/>
      <c r="I50" s="1147"/>
      <c r="J50" s="1147"/>
      <c r="K50" s="1147"/>
      <c r="L50" s="1147"/>
      <c r="M50" s="1194"/>
      <c r="N50" s="602"/>
      <c r="O50" s="602"/>
      <c r="P50" s="602"/>
      <c r="Q50" s="1215"/>
      <c r="R50" s="276"/>
      <c r="S50" s="437"/>
      <c r="T50" s="277"/>
      <c r="U50" s="1219" t="str">
        <f>INDEX(PT_DIFFERENTIATION_NUM_TER,MATCH(B50,PT_DIFFERENTIATION_TER_ID,0))</f>
        <v>.</v>
      </c>
      <c r="V50" s="228" t="s">
        <v>1463</v>
      </c>
      <c r="W50" s="218"/>
      <c r="X50" s="2215"/>
      <c r="Y50" s="2216"/>
      <c r="Z50" s="2216"/>
      <c r="AA50" s="2216"/>
      <c r="AB50" s="2216"/>
      <c r="AC50" s="2216"/>
      <c r="AD50" s="2216"/>
      <c r="AE50" s="2216"/>
      <c r="AF50" s="2217"/>
      <c r="AG50" s="2215" t="str">
        <f>INDEX(PT_DIFFERENTIATION_TER,MATCH(B50,PT_DIFFERENTIATION_TER_ID,0))</f>
        <v/>
      </c>
      <c r="AH50" s="2216"/>
      <c r="AI50" s="2216"/>
      <c r="AJ50" s="2216"/>
      <c r="AK50" s="2216"/>
      <c r="AL50" s="2216"/>
      <c r="AM50" s="2216"/>
      <c r="AN50" s="2216"/>
      <c r="AO50" s="2216"/>
      <c r="AP50" s="2217"/>
      <c r="AQ50" s="1138" t="s">
        <v>1464</v>
      </c>
      <c r="AS50" s="428"/>
      <c r="AT50" s="428" t="str">
        <f t="shared" si="2"/>
        <v>Территория действия тарифа</v>
      </c>
      <c r="AU50" s="428"/>
      <c r="AV50" s="428"/>
    </row>
    <row r="51" spans="1:48" ht="22.5" customHeight="1">
      <c r="A51" s="1147" t="s">
        <v>177</v>
      </c>
      <c r="B51" s="1147" t="s">
        <v>178</v>
      </c>
      <c r="C51" s="1147" t="s">
        <v>179</v>
      </c>
      <c r="D51" s="1147"/>
      <c r="E51" s="2256"/>
      <c r="F51" s="2256"/>
      <c r="G51" s="2255">
        <v>1</v>
      </c>
      <c r="H51" s="1147"/>
      <c r="I51" s="1147"/>
      <c r="J51" s="1147"/>
      <c r="K51" s="1147"/>
      <c r="L51" s="1147"/>
      <c r="M51" s="1194"/>
      <c r="N51" s="602"/>
      <c r="O51" s="602"/>
      <c r="P51" s="602"/>
      <c r="Q51" s="278"/>
      <c r="R51" s="276"/>
      <c r="S51" s="437"/>
      <c r="T51" s="277"/>
      <c r="U51" s="1219" t="str">
        <f>INDEX(PT_DIFFERENTIATION_NUM_CS,MATCH(C51,PT_DIFFERENTIATION_CS_ID,0))</f>
        <v>..</v>
      </c>
      <c r="V51" s="229" t="s">
        <v>1465</v>
      </c>
      <c r="W51" s="218"/>
      <c r="X51" s="2215"/>
      <c r="Y51" s="2216"/>
      <c r="Z51" s="2216"/>
      <c r="AA51" s="2216"/>
      <c r="AB51" s="2216"/>
      <c r="AC51" s="2216"/>
      <c r="AD51" s="2216"/>
      <c r="AE51" s="2216"/>
      <c r="AF51" s="2217"/>
      <c r="AG51" s="2215" t="str">
        <f>INDEX(PT_DIFFERENTIATION_CS,MATCH(C51,PT_DIFFERENTIATION_CS_ID,0))</f>
        <v/>
      </c>
      <c r="AH51" s="2216"/>
      <c r="AI51" s="2216"/>
      <c r="AJ51" s="2216"/>
      <c r="AK51" s="2216"/>
      <c r="AL51" s="2216"/>
      <c r="AM51" s="2216"/>
      <c r="AN51" s="2216"/>
      <c r="AO51" s="2216"/>
      <c r="AP51" s="2217"/>
      <c r="AQ51" s="1138" t="s">
        <v>1466</v>
      </c>
      <c r="AS51" s="428"/>
      <c r="AT51" s="428" t="str">
        <f t="shared" si="2"/>
        <v xml:space="preserve">Наименование системы теплоснабжения </v>
      </c>
      <c r="AU51" s="428"/>
      <c r="AV51" s="428"/>
    </row>
    <row r="52" spans="1:48" ht="21" customHeight="1">
      <c r="A52" s="1147" t="s">
        <v>177</v>
      </c>
      <c r="B52" s="1147" t="s">
        <v>178</v>
      </c>
      <c r="C52" s="1147" t="s">
        <v>179</v>
      </c>
      <c r="D52" s="1147" t="s">
        <v>180</v>
      </c>
      <c r="E52" s="2256"/>
      <c r="F52" s="2256"/>
      <c r="G52" s="2256"/>
      <c r="H52" s="2255">
        <v>1</v>
      </c>
      <c r="I52" s="1147"/>
      <c r="J52" s="1147"/>
      <c r="K52" s="1147"/>
      <c r="L52" s="1147"/>
      <c r="M52" s="1194"/>
      <c r="N52" s="602"/>
      <c r="O52" s="602"/>
      <c r="P52" s="602"/>
      <c r="Q52" s="278"/>
      <c r="R52" s="276"/>
      <c r="S52" s="437"/>
      <c r="T52" s="277"/>
      <c r="U52" s="1219" t="str">
        <f>INDEX(PT_DIFFERENTIATION_NUM_IST_TE,MATCH(D52,PT_DIFFERENTIATION_IST_TE_ID,0))</f>
        <v>...</v>
      </c>
      <c r="V52" s="230" t="s">
        <v>1467</v>
      </c>
      <c r="W52" s="218"/>
      <c r="X52" s="2215"/>
      <c r="Y52" s="2216"/>
      <c r="Z52" s="2216"/>
      <c r="AA52" s="2216"/>
      <c r="AB52" s="2216"/>
      <c r="AC52" s="2216"/>
      <c r="AD52" s="2216"/>
      <c r="AE52" s="2216"/>
      <c r="AF52" s="2217"/>
      <c r="AG52" s="2215" t="str">
        <f>INDEX(PT_DIFFERENTIATION_IST_TE,MATCH(D52,PT_DIFFERENTIATION_IST_TE_ID,0))</f>
        <v/>
      </c>
      <c r="AH52" s="2216"/>
      <c r="AI52" s="2216"/>
      <c r="AJ52" s="2216"/>
      <c r="AK52" s="2216"/>
      <c r="AL52" s="2216"/>
      <c r="AM52" s="2216"/>
      <c r="AN52" s="2216"/>
      <c r="AO52" s="2216"/>
      <c r="AP52" s="2217"/>
      <c r="AQ52" s="1138" t="s">
        <v>1468</v>
      </c>
      <c r="AS52" s="428"/>
      <c r="AT52" s="428" t="str">
        <f t="shared" si="2"/>
        <v xml:space="preserve">Источник тепловой энергии  </v>
      </c>
      <c r="AU52" s="428"/>
      <c r="AV52" s="428"/>
    </row>
    <row r="53" spans="1:48" s="1755" customFormat="1" ht="0" hidden="1" customHeight="1">
      <c r="A53" s="1254" t="s">
        <v>177</v>
      </c>
      <c r="B53" s="1254" t="s">
        <v>178</v>
      </c>
      <c r="C53" s="1254" t="s">
        <v>179</v>
      </c>
      <c r="D53" s="1254" t="s">
        <v>180</v>
      </c>
      <c r="E53" s="2256"/>
      <c r="F53" s="2256"/>
      <c r="G53" s="2256"/>
      <c r="H53" s="2256"/>
      <c r="I53" s="2007" t="str">
        <f>U52&amp;".1"</f>
        <v>....1</v>
      </c>
      <c r="J53" s="1254"/>
      <c r="K53" s="1254"/>
      <c r="L53" s="1254"/>
      <c r="M53" s="1260" t="s">
        <v>1469</v>
      </c>
      <c r="N53" s="1117"/>
      <c r="O53" s="1117"/>
      <c r="P53" s="1117"/>
      <c r="Q53" s="2143">
        <v>1</v>
      </c>
      <c r="R53" s="1214"/>
      <c r="S53" s="1214"/>
      <c r="T53" s="280"/>
      <c r="U53" s="932"/>
      <c r="V53" s="1261"/>
      <c r="W53" s="1262"/>
      <c r="X53" s="2249"/>
      <c r="Y53" s="2250"/>
      <c r="Z53" s="2250"/>
      <c r="AA53" s="2250"/>
      <c r="AB53" s="2250"/>
      <c r="AC53" s="2250"/>
      <c r="AD53" s="2250"/>
      <c r="AE53" s="2250"/>
      <c r="AF53" s="2251"/>
      <c r="AG53" s="2249"/>
      <c r="AH53" s="2250"/>
      <c r="AI53" s="2250"/>
      <c r="AJ53" s="2250"/>
      <c r="AK53" s="2250"/>
      <c r="AL53" s="2250"/>
      <c r="AM53" s="2250"/>
      <c r="AN53" s="2250"/>
      <c r="AO53" s="2250"/>
      <c r="AP53" s="2251"/>
      <c r="AQ53" s="1263"/>
      <c r="AS53" s="428"/>
      <c r="AT53" s="428" t="str">
        <f t="shared" si="2"/>
        <v/>
      </c>
      <c r="AU53" s="428"/>
      <c r="AV53" s="428"/>
    </row>
    <row r="54" spans="1:48" ht="21" customHeight="1">
      <c r="A54" s="1147" t="s">
        <v>177</v>
      </c>
      <c r="B54" s="1147" t="s">
        <v>178</v>
      </c>
      <c r="C54" s="1147" t="s">
        <v>179</v>
      </c>
      <c r="D54" s="1147" t="s">
        <v>180</v>
      </c>
      <c r="E54" s="2256"/>
      <c r="F54" s="2256"/>
      <c r="G54" s="2256"/>
      <c r="H54" s="2256"/>
      <c r="I54" s="1989"/>
      <c r="J54" s="2007" t="str">
        <f>I53&amp;".1"</f>
        <v>....1.1</v>
      </c>
      <c r="K54" s="1147"/>
      <c r="L54" s="1147"/>
      <c r="M54" s="1194" t="s">
        <v>1472</v>
      </c>
      <c r="Q54" s="2143"/>
      <c r="R54" s="2143">
        <v>1</v>
      </c>
      <c r="S54" s="446"/>
      <c r="T54" s="281"/>
      <c r="U54" s="1219" t="str">
        <f>$J54</f>
        <v>....1.1</v>
      </c>
      <c r="V54" s="204" t="s">
        <v>1473</v>
      </c>
      <c r="W54" s="218"/>
      <c r="X54" s="2210"/>
      <c r="Y54" s="2211"/>
      <c r="Z54" s="2211"/>
      <c r="AA54" s="2211"/>
      <c r="AB54" s="2211"/>
      <c r="AC54" s="2120"/>
      <c r="AD54" s="2120"/>
      <c r="AE54" s="2120"/>
      <c r="AF54" s="2257"/>
      <c r="AG54" s="2210"/>
      <c r="AH54" s="2211"/>
      <c r="AI54" s="2211"/>
      <c r="AJ54" s="2211"/>
      <c r="AK54" s="2211"/>
      <c r="AL54" s="2211"/>
      <c r="AM54" s="2211"/>
      <c r="AN54" s="2211"/>
      <c r="AO54" s="2211"/>
      <c r="AP54" s="2212"/>
      <c r="AQ54" s="1138" t="s">
        <v>1474</v>
      </c>
      <c r="AS54" s="428"/>
      <c r="AT54" s="428" t="str">
        <f t="shared" si="2"/>
        <v>Группа потребителей</v>
      </c>
      <c r="AU54" s="428"/>
      <c r="AV54" s="428"/>
    </row>
    <row r="55" spans="1:48" ht="21" customHeight="1">
      <c r="A55" s="1147" t="s">
        <v>177</v>
      </c>
      <c r="B55" s="1147" t="s">
        <v>178</v>
      </c>
      <c r="C55" s="1147" t="s">
        <v>179</v>
      </c>
      <c r="D55" s="1147" t="s">
        <v>180</v>
      </c>
      <c r="E55" s="2256"/>
      <c r="F55" s="2256"/>
      <c r="G55" s="2256"/>
      <c r="H55" s="2256"/>
      <c r="I55" s="1989"/>
      <c r="J55" s="1989"/>
      <c r="K55" s="2007" t="str">
        <f>J54&amp;".1"</f>
        <v>....1.1.1</v>
      </c>
      <c r="L55" s="70"/>
      <c r="M55" s="1194" t="s">
        <v>1475</v>
      </c>
      <c r="Q55" s="2143"/>
      <c r="R55" s="2143"/>
      <c r="S55" s="446">
        <v>1</v>
      </c>
      <c r="T55" s="281"/>
      <c r="U55" s="1219" t="str">
        <f>$K55</f>
        <v>....1.1.1</v>
      </c>
      <c r="V55" s="1230"/>
      <c r="W55" s="218"/>
      <c r="X55" s="1664"/>
      <c r="Y55" s="1664"/>
      <c r="Z55" s="1664"/>
      <c r="AA55" s="1664"/>
      <c r="AB55" s="1676"/>
      <c r="AC55" s="2225"/>
      <c r="AD55" s="2017" t="s">
        <v>62</v>
      </c>
      <c r="AE55" s="2225"/>
      <c r="AF55" s="2017" t="s">
        <v>62</v>
      </c>
      <c r="AG55" s="1677"/>
      <c r="AH55" s="1664"/>
      <c r="AI55" s="1664"/>
      <c r="AJ55" s="1664"/>
      <c r="AK55" s="1666"/>
      <c r="AL55" s="2225"/>
      <c r="AM55" s="2017" t="s">
        <v>62</v>
      </c>
      <c r="AN55" s="2225"/>
      <c r="AO55" s="2017" t="s">
        <v>62</v>
      </c>
      <c r="AP55" s="1672"/>
      <c r="AQ55" s="1192" t="s">
        <v>1525</v>
      </c>
      <c r="AR55" s="439" t="e">
        <f ca="1">STRCHECKDATE(X57:AP57)</f>
        <v>#NAME?</v>
      </c>
      <c r="AS55" s="428"/>
      <c r="AT55" s="428" t="str">
        <f t="shared" si="2"/>
        <v/>
      </c>
      <c r="AU55" s="428"/>
      <c r="AV55" s="428"/>
    </row>
    <row r="56" spans="1:48" ht="11.25" customHeight="1">
      <c r="A56" s="1147" t="s">
        <v>177</v>
      </c>
      <c r="B56" s="1147" t="s">
        <v>178</v>
      </c>
      <c r="C56" s="1147" t="s">
        <v>179</v>
      </c>
      <c r="D56" s="1147" t="s">
        <v>180</v>
      </c>
      <c r="E56" s="2256"/>
      <c r="F56" s="2256"/>
      <c r="G56" s="2256"/>
      <c r="H56" s="2256"/>
      <c r="I56" s="1989"/>
      <c r="J56" s="1989"/>
      <c r="K56" s="1989"/>
      <c r="L56" s="2007" t="str">
        <f>K55&amp;".1"</f>
        <v>....1.1.1.1</v>
      </c>
      <c r="M56" s="1194"/>
      <c r="Q56" s="2143"/>
      <c r="R56" s="2143"/>
      <c r="S56" s="446">
        <v>1</v>
      </c>
      <c r="T56" s="281"/>
      <c r="U56" s="1219" t="str">
        <f>$L56</f>
        <v>....1.1.1.1</v>
      </c>
      <c r="V56" s="1268"/>
      <c r="W56" s="218"/>
      <c r="X56" s="1665"/>
      <c r="Y56" s="1664"/>
      <c r="Z56" s="1664"/>
      <c r="AA56" s="1664"/>
      <c r="AB56" s="1676"/>
      <c r="AC56" s="2226"/>
      <c r="AD56" s="2017"/>
      <c r="AE56" s="2226"/>
      <c r="AF56" s="2017"/>
      <c r="AG56" s="1677"/>
      <c r="AH56" s="1664"/>
      <c r="AI56" s="1664"/>
      <c r="AJ56" s="1664"/>
      <c r="AK56" s="1666"/>
      <c r="AL56" s="2226"/>
      <c r="AM56" s="2017"/>
      <c r="AN56" s="2226"/>
      <c r="AO56" s="2017"/>
      <c r="AP56" s="1672"/>
      <c r="AQ56" s="2243" t="s">
        <v>1526</v>
      </c>
      <c r="AR56" s="439" t="e">
        <f ca="1">STRCHECKDATE(X58:AP58)</f>
        <v>#NAME?</v>
      </c>
      <c r="AS56" s="428"/>
      <c r="AT56" s="428" t="str">
        <f t="shared" si="2"/>
        <v/>
      </c>
      <c r="AU56" s="428"/>
      <c r="AV56" s="428"/>
    </row>
    <row r="57" spans="1:48" ht="0" hidden="1" customHeight="1">
      <c r="A57" s="1147" t="s">
        <v>177</v>
      </c>
      <c r="B57" s="1147" t="s">
        <v>178</v>
      </c>
      <c r="C57" s="1147" t="s">
        <v>179</v>
      </c>
      <c r="D57" s="1147" t="s">
        <v>180</v>
      </c>
      <c r="E57" s="2256"/>
      <c r="F57" s="2256"/>
      <c r="G57" s="2256"/>
      <c r="H57" s="2256"/>
      <c r="I57" s="1989"/>
      <c r="J57" s="1989"/>
      <c r="K57" s="1989"/>
      <c r="L57" s="2007"/>
      <c r="M57" s="1194"/>
      <c r="Q57" s="2143"/>
      <c r="R57" s="2143"/>
      <c r="S57" s="446"/>
      <c r="T57" s="281"/>
      <c r="U57" s="1225"/>
      <c r="V57" s="218"/>
      <c r="W57" s="218"/>
      <c r="X57" s="1665"/>
      <c r="Y57" s="1665"/>
      <c r="Z57" s="1665"/>
      <c r="AA57" s="1665"/>
      <c r="AB57" s="1678" t="str">
        <f>AC55&amp;"-"&amp;AE55</f>
        <v>-</v>
      </c>
      <c r="AC57" s="2226"/>
      <c r="AD57" s="2017"/>
      <c r="AE57" s="2226"/>
      <c r="AF57" s="2017"/>
      <c r="AG57" s="1679"/>
      <c r="AH57" s="1665"/>
      <c r="AI57" s="1665"/>
      <c r="AJ57" s="1665"/>
      <c r="AK57" s="1667" t="str">
        <f>AL55&amp;"-"&amp;AN55</f>
        <v>-</v>
      </c>
      <c r="AL57" s="2226"/>
      <c r="AM57" s="2017"/>
      <c r="AN57" s="2226"/>
      <c r="AO57" s="2017"/>
      <c r="AP57" s="1673"/>
      <c r="AQ57" s="2244"/>
      <c r="AS57" s="428"/>
      <c r="AT57" s="428" t="str">
        <f t="shared" si="2"/>
        <v/>
      </c>
      <c r="AU57" s="428"/>
      <c r="AV57" s="428"/>
    </row>
    <row r="58" spans="1:48" ht="11.25" customHeight="1">
      <c r="A58" s="1147" t="s">
        <v>177</v>
      </c>
      <c r="B58" s="1147" t="s">
        <v>178</v>
      </c>
      <c r="C58" s="1147" t="s">
        <v>179</v>
      </c>
      <c r="D58" s="1147" t="s">
        <v>180</v>
      </c>
      <c r="E58" s="2256"/>
      <c r="F58" s="2256"/>
      <c r="G58" s="2256"/>
      <c r="H58" s="2256"/>
      <c r="I58" s="1989"/>
      <c r="J58" s="1989"/>
      <c r="K58" s="2007"/>
      <c r="L58" s="1147"/>
      <c r="M58" s="1194"/>
      <c r="Q58" s="2143"/>
      <c r="R58" s="2143"/>
      <c r="S58" s="1214"/>
      <c r="T58" s="280"/>
      <c r="U58" s="1159"/>
      <c r="V58" s="206" t="s">
        <v>1527</v>
      </c>
      <c r="W58" s="294"/>
      <c r="X58" s="294"/>
      <c r="Y58" s="294"/>
      <c r="Z58" s="294"/>
      <c r="AA58" s="294"/>
      <c r="AB58" s="294"/>
      <c r="AC58" s="2226"/>
      <c r="AD58" s="2017"/>
      <c r="AE58" s="2226"/>
      <c r="AF58" s="2017"/>
      <c r="AG58" s="294"/>
      <c r="AH58" s="294"/>
      <c r="AI58" s="294"/>
      <c r="AJ58" s="294"/>
      <c r="AK58" s="294"/>
      <c r="AL58" s="2226"/>
      <c r="AM58" s="2017"/>
      <c r="AN58" s="2226"/>
      <c r="AO58" s="2017"/>
      <c r="AP58" s="251"/>
      <c r="AQ58" s="2244"/>
      <c r="AS58" s="428"/>
      <c r="AT58" s="428" t="str">
        <f t="shared" si="2"/>
        <v>Добавить наименование поставщика</v>
      </c>
      <c r="AU58" s="428"/>
      <c r="AV58" s="428"/>
    </row>
    <row r="59" spans="1:48" ht="11.25" customHeight="1">
      <c r="A59" s="1147" t="s">
        <v>177</v>
      </c>
      <c r="B59" s="1147" t="s">
        <v>178</v>
      </c>
      <c r="C59" s="1147" t="s">
        <v>179</v>
      </c>
      <c r="D59" s="1147" t="s">
        <v>180</v>
      </c>
      <c r="E59" s="2256"/>
      <c r="F59" s="2256"/>
      <c r="G59" s="2256"/>
      <c r="H59" s="2256"/>
      <c r="I59" s="1989"/>
      <c r="J59" s="2007"/>
      <c r="K59" s="1147"/>
      <c r="L59" s="1147"/>
      <c r="M59" s="1194"/>
      <c r="Q59" s="2143"/>
      <c r="R59" s="2143"/>
      <c r="S59" s="1214"/>
      <c r="T59" s="280"/>
      <c r="U59" s="1159"/>
      <c r="V59" s="205" t="s">
        <v>1477</v>
      </c>
      <c r="W59" s="294"/>
      <c r="X59" s="294"/>
      <c r="Y59" s="294"/>
      <c r="Z59" s="294"/>
      <c r="AA59" s="294"/>
      <c r="AB59" s="294"/>
      <c r="AC59" s="1276"/>
      <c r="AD59" s="1276"/>
      <c r="AE59" s="1276"/>
      <c r="AF59" s="1276"/>
      <c r="AG59" s="294"/>
      <c r="AH59" s="294"/>
      <c r="AI59" s="294"/>
      <c r="AJ59" s="294"/>
      <c r="AK59" s="294"/>
      <c r="AL59" s="294"/>
      <c r="AM59" s="294"/>
      <c r="AN59" s="294"/>
      <c r="AO59" s="294"/>
      <c r="AP59" s="251"/>
      <c r="AQ59" s="2245"/>
      <c r="AS59" s="428"/>
      <c r="AT59" s="428" t="str">
        <f t="shared" si="2"/>
        <v>Добавить вид теплоносителя (параметры теплоносителя)</v>
      </c>
      <c r="AU59" s="428"/>
      <c r="AV59" s="428"/>
    </row>
    <row r="60" spans="1:48" ht="11.25" customHeight="1">
      <c r="A60" s="1147" t="s">
        <v>177</v>
      </c>
      <c r="B60" s="1147" t="s">
        <v>178</v>
      </c>
      <c r="C60" s="1147" t="s">
        <v>179</v>
      </c>
      <c r="D60" s="1147" t="s">
        <v>180</v>
      </c>
      <c r="E60" s="2256"/>
      <c r="F60" s="2256"/>
      <c r="G60" s="2256"/>
      <c r="H60" s="2256"/>
      <c r="I60" s="2007"/>
      <c r="J60" s="1147"/>
      <c r="K60" s="1147"/>
      <c r="L60" s="1147"/>
      <c r="M60" s="1194"/>
      <c r="Q60" s="2143"/>
      <c r="R60" s="1214"/>
      <c r="S60" s="1214"/>
      <c r="T60" s="280"/>
      <c r="U60" s="1159"/>
      <c r="V60" s="291" t="s">
        <v>1478</v>
      </c>
      <c r="W60" s="294"/>
      <c r="X60" s="294"/>
      <c r="Y60" s="294"/>
      <c r="Z60" s="294"/>
      <c r="AA60" s="294"/>
      <c r="AB60" s="294"/>
      <c r="AC60" s="294"/>
      <c r="AD60" s="294"/>
      <c r="AE60" s="294"/>
      <c r="AF60" s="293"/>
      <c r="AG60" s="294"/>
      <c r="AH60" s="294"/>
      <c r="AI60" s="294"/>
      <c r="AJ60" s="294"/>
      <c r="AK60" s="294"/>
      <c r="AL60" s="294"/>
      <c r="AM60" s="294"/>
      <c r="AN60" s="294"/>
      <c r="AO60" s="293"/>
      <c r="AP60" s="294"/>
      <c r="AQ60" s="221"/>
      <c r="AS60" s="428"/>
      <c r="AT60" s="428" t="str">
        <f t="shared" si="2"/>
        <v>Добавить группу потребителей</v>
      </c>
      <c r="AU60" s="428"/>
      <c r="AV60" s="428"/>
    </row>
    <row r="61" spans="1:48" ht="0" hidden="1" customHeight="1">
      <c r="A61" s="1147" t="s">
        <v>177</v>
      </c>
      <c r="B61" s="1147" t="s">
        <v>178</v>
      </c>
      <c r="C61" s="1147" t="s">
        <v>179</v>
      </c>
      <c r="D61" s="1147" t="s">
        <v>180</v>
      </c>
      <c r="E61" s="2256"/>
      <c r="F61" s="2256"/>
      <c r="G61" s="2256"/>
      <c r="H61" s="2255"/>
      <c r="I61" s="1147"/>
      <c r="J61" s="1147"/>
      <c r="K61" s="1147"/>
      <c r="L61" s="1147"/>
      <c r="M61" s="1194"/>
      <c r="N61" s="602"/>
      <c r="O61" s="602"/>
      <c r="P61" s="437"/>
      <c r="Q61" s="284"/>
      <c r="R61" s="303"/>
      <c r="S61" s="279"/>
      <c r="T61" s="284"/>
      <c r="U61" s="1264"/>
      <c r="V61" s="1265"/>
      <c r="W61" s="1266"/>
      <c r="X61" s="1266"/>
      <c r="Y61" s="1266"/>
      <c r="Z61" s="1266"/>
      <c r="AA61" s="1266"/>
      <c r="AB61" s="1266"/>
      <c r="AC61" s="1266"/>
      <c r="AD61" s="1266"/>
      <c r="AE61" s="1266"/>
      <c r="AF61" s="1266"/>
      <c r="AG61" s="1266"/>
      <c r="AH61" s="1266"/>
      <c r="AI61" s="1266"/>
      <c r="AJ61" s="1266"/>
      <c r="AK61" s="1266"/>
      <c r="AL61" s="1266"/>
      <c r="AM61" s="1266"/>
      <c r="AN61" s="1266"/>
      <c r="AO61" s="1266"/>
      <c r="AP61" s="1266"/>
      <c r="AQ61" s="1267"/>
      <c r="AS61" s="428"/>
      <c r="AT61" s="428" t="str">
        <f t="shared" si="2"/>
        <v/>
      </c>
      <c r="AU61" s="428"/>
      <c r="AV61" s="428"/>
    </row>
    <row r="62" spans="1:48" s="1755" customFormat="1" ht="0.75" customHeight="1">
      <c r="A62" s="1254" t="s">
        <v>177</v>
      </c>
      <c r="B62" s="1254" t="s">
        <v>178</v>
      </c>
      <c r="C62" s="1254" t="s">
        <v>179</v>
      </c>
      <c r="D62" s="1253"/>
      <c r="E62" s="2256"/>
      <c r="F62" s="2256"/>
      <c r="G62" s="2255"/>
      <c r="H62" s="1253"/>
      <c r="I62" s="1253"/>
      <c r="J62" s="1253"/>
      <c r="K62" s="1253"/>
      <c r="L62" s="1253"/>
      <c r="M62" s="1256"/>
      <c r="N62" s="1257"/>
      <c r="O62" s="1257"/>
      <c r="P62" s="275"/>
      <c r="Q62" s="1200"/>
      <c r="R62" s="1201"/>
      <c r="S62" s="1200"/>
      <c r="T62" s="1200"/>
      <c r="U62" s="1206"/>
      <c r="V62" s="1209" t="s">
        <v>1438</v>
      </c>
      <c r="W62" s="1208"/>
      <c r="X62" s="1208"/>
      <c r="Y62" s="1208"/>
      <c r="Z62" s="1208"/>
      <c r="AA62" s="1208"/>
      <c r="AB62" s="1208"/>
      <c r="AC62" s="1208"/>
      <c r="AD62" s="1208"/>
      <c r="AE62" s="1208"/>
      <c r="AF62" s="1208"/>
      <c r="AG62" s="1208"/>
      <c r="AH62" s="1208"/>
      <c r="AI62" s="1208"/>
      <c r="AJ62" s="1208"/>
      <c r="AK62" s="1208"/>
      <c r="AL62" s="1208"/>
      <c r="AM62" s="1208"/>
      <c r="AN62" s="1208"/>
      <c r="AO62" s="1208"/>
      <c r="AP62" s="1208"/>
      <c r="AQ62" s="1208"/>
      <c r="AS62" s="695"/>
      <c r="AT62" s="695" t="str">
        <f t="shared" si="2"/>
        <v>Добавить источник для дифференциации</v>
      </c>
      <c r="AU62" s="695"/>
      <c r="AV62" s="695"/>
    </row>
    <row r="63" spans="1:48" s="1755" customFormat="1" ht="0.75" customHeight="1">
      <c r="A63" s="1254" t="s">
        <v>177</v>
      </c>
      <c r="B63" s="1254" t="s">
        <v>178</v>
      </c>
      <c r="C63" s="1253"/>
      <c r="D63" s="1253"/>
      <c r="E63" s="2256"/>
      <c r="F63" s="2255"/>
      <c r="G63" s="1253"/>
      <c r="H63" s="1253"/>
      <c r="I63" s="1253"/>
      <c r="J63" s="1253"/>
      <c r="K63" s="1253"/>
      <c r="L63" s="1253"/>
      <c r="M63" s="1256"/>
      <c r="N63" s="1258"/>
      <c r="O63" s="1258"/>
      <c r="P63" s="275"/>
      <c r="Q63" s="1200"/>
      <c r="R63" s="1201"/>
      <c r="S63" s="1200"/>
      <c r="T63" s="1200"/>
      <c r="U63" s="1206"/>
      <c r="V63" s="1209" t="s">
        <v>1439</v>
      </c>
      <c r="W63" s="1208"/>
      <c r="X63" s="1208"/>
      <c r="Y63" s="1208"/>
      <c r="Z63" s="1208"/>
      <c r="AA63" s="1208"/>
      <c r="AB63" s="1208"/>
      <c r="AC63" s="1208"/>
      <c r="AD63" s="1208"/>
      <c r="AE63" s="1208"/>
      <c r="AF63" s="1208"/>
      <c r="AG63" s="1208"/>
      <c r="AH63" s="1208"/>
      <c r="AI63" s="1208"/>
      <c r="AJ63" s="1208"/>
      <c r="AK63" s="1208"/>
      <c r="AL63" s="1208"/>
      <c r="AM63" s="1208"/>
      <c r="AN63" s="1208"/>
      <c r="AO63" s="1208"/>
      <c r="AP63" s="1208"/>
      <c r="AQ63" s="1208"/>
      <c r="AS63" s="695"/>
      <c r="AT63" s="695" t="str">
        <f t="shared" si="2"/>
        <v>Добавить централизованную систему для дифференциации</v>
      </c>
      <c r="AU63" s="695"/>
      <c r="AV63" s="695"/>
    </row>
    <row r="64" spans="1:48" s="1755" customFormat="1" ht="0.75" customHeight="1">
      <c r="A64" s="1254" t="s">
        <v>177</v>
      </c>
      <c r="B64" s="1254"/>
      <c r="C64" s="1254"/>
      <c r="D64" s="1254"/>
      <c r="E64" s="2255"/>
      <c r="F64" s="1254"/>
      <c r="G64" s="1254"/>
      <c r="H64" s="1254"/>
      <c r="I64" s="1254"/>
      <c r="J64" s="1254"/>
      <c r="K64" s="1254"/>
      <c r="L64" s="1254"/>
      <c r="M64" s="1260"/>
      <c r="N64" s="1258"/>
      <c r="O64" s="1258"/>
      <c r="P64" s="275"/>
      <c r="Q64" s="311"/>
      <c r="R64" s="1227"/>
      <c r="S64" s="311"/>
      <c r="T64" s="311"/>
      <c r="U64" s="1206"/>
      <c r="V64" s="1209" t="s">
        <v>1440</v>
      </c>
      <c r="W64" s="1208"/>
      <c r="X64" s="1208"/>
      <c r="Y64" s="1208"/>
      <c r="Z64" s="1208"/>
      <c r="AA64" s="1208"/>
      <c r="AB64" s="1208"/>
      <c r="AC64" s="1208"/>
      <c r="AD64" s="1208"/>
      <c r="AE64" s="1208"/>
      <c r="AF64" s="1208"/>
      <c r="AG64" s="1208"/>
      <c r="AH64" s="1208"/>
      <c r="AI64" s="1208"/>
      <c r="AJ64" s="1208"/>
      <c r="AK64" s="1208"/>
      <c r="AL64" s="1208"/>
      <c r="AM64" s="1208"/>
      <c r="AN64" s="1208"/>
      <c r="AO64" s="1208"/>
      <c r="AP64" s="1208"/>
      <c r="AQ64" s="1208"/>
      <c r="AS64" s="428"/>
      <c r="AT64" s="428" t="str">
        <f t="shared" si="2"/>
        <v>Добавить территорию для дифференциации</v>
      </c>
      <c r="AU64" s="428"/>
      <c r="AV64" s="428"/>
    </row>
    <row r="65" spans="1:48" s="1755" customFormat="1" ht="0.75" customHeight="1">
      <c r="A65" s="1253"/>
      <c r="B65" s="1253"/>
      <c r="C65" s="1253"/>
      <c r="D65" s="1253"/>
      <c r="E65" s="1254"/>
      <c r="F65" s="1253"/>
      <c r="G65" s="1253"/>
      <c r="H65" s="1253"/>
      <c r="I65" s="1253"/>
      <c r="J65" s="1253"/>
      <c r="K65" s="1253"/>
      <c r="L65" s="1253"/>
      <c r="M65" s="1256"/>
      <c r="N65" s="1258"/>
      <c r="O65" s="1258"/>
      <c r="P65" s="275"/>
      <c r="Q65" s="1200"/>
      <c r="R65" s="1201"/>
      <c r="S65" s="1200"/>
      <c r="T65" s="1200"/>
      <c r="U65" s="1206"/>
      <c r="V65" s="1209" t="s">
        <v>1441</v>
      </c>
      <c r="W65" s="1208"/>
      <c r="X65" s="1208"/>
      <c r="Y65" s="1208"/>
      <c r="Z65" s="1208"/>
      <c r="AA65" s="1208"/>
      <c r="AB65" s="1208"/>
      <c r="AC65" s="1208"/>
      <c r="AD65" s="1208"/>
      <c r="AE65" s="1208"/>
      <c r="AF65" s="1208"/>
      <c r="AG65" s="1208"/>
      <c r="AH65" s="1208"/>
      <c r="AI65" s="1208"/>
      <c r="AJ65" s="1208"/>
      <c r="AK65" s="1208"/>
      <c r="AL65" s="1208"/>
      <c r="AM65" s="1208"/>
      <c r="AN65" s="1208"/>
      <c r="AO65" s="1208"/>
      <c r="AP65" s="1208"/>
      <c r="AQ65" s="1208"/>
      <c r="AS65" s="695"/>
      <c r="AT65" s="695" t="str">
        <f t="shared" si="2"/>
        <v>Добавить наименование тарифа</v>
      </c>
      <c r="AU65" s="695"/>
      <c r="AV65" s="695"/>
    </row>
    <row r="66" spans="1:48" ht="11.25" hidden="1" customHeight="1">
      <c r="N66" s="1029"/>
      <c r="O66" s="1029"/>
      <c r="P66" s="437"/>
      <c r="Q66" s="1029"/>
      <c r="R66" s="1029"/>
      <c r="S66" s="1029"/>
      <c r="T66" s="1029"/>
      <c r="U66" s="1029"/>
      <c r="AR66" s="1029"/>
      <c r="AS66" s="1029"/>
      <c r="AT66" s="1029"/>
      <c r="AU66" s="1029"/>
      <c r="AV66" s="1029"/>
    </row>
    <row r="67" spans="1:48" ht="33.75" hidden="1" customHeight="1">
      <c r="P67" s="437"/>
      <c r="U67" s="1126" t="s">
        <v>1511</v>
      </c>
      <c r="V67" s="2220" t="s">
        <v>1521</v>
      </c>
      <c r="W67" s="2220"/>
      <c r="X67" s="2220"/>
      <c r="Y67" s="2220"/>
      <c r="Z67" s="2220"/>
      <c r="AA67" s="2220"/>
      <c r="AB67" s="2220"/>
      <c r="AC67" s="2220"/>
      <c r="AD67" s="2220"/>
      <c r="AE67" s="2220"/>
      <c r="AF67" s="2220"/>
      <c r="AG67" s="2220"/>
      <c r="AH67" s="2220"/>
      <c r="AI67" s="2220"/>
      <c r="AJ67" s="2220"/>
      <c r="AK67" s="2220"/>
      <c r="AL67" s="2220"/>
      <c r="AM67" s="2220"/>
      <c r="AN67" s="2220"/>
      <c r="AO67" s="2220"/>
      <c r="AP67" s="2220"/>
      <c r="AQ67" s="2220"/>
    </row>
    <row r="68" spans="1:48" ht="19.5" hidden="1" customHeight="1">
      <c r="P68" s="437"/>
      <c r="V68" s="2220" t="s">
        <v>1537</v>
      </c>
      <c r="W68" s="2220"/>
      <c r="X68" s="2220"/>
      <c r="Y68" s="2220"/>
      <c r="Z68" s="2220"/>
      <c r="AA68" s="2220"/>
      <c r="AB68" s="2220"/>
      <c r="AC68" s="2220"/>
      <c r="AD68" s="2220"/>
      <c r="AE68" s="2220"/>
      <c r="AF68" s="2220"/>
      <c r="AG68" s="2220"/>
      <c r="AH68" s="2220"/>
      <c r="AI68" s="2220"/>
      <c r="AJ68" s="2220"/>
      <c r="AK68" s="2220"/>
      <c r="AL68" s="2220"/>
      <c r="AM68" s="2220"/>
      <c r="AN68" s="2220"/>
      <c r="AO68" s="2220"/>
      <c r="AP68" s="2220"/>
      <c r="AQ68" s="2220"/>
    </row>
    <row r="69" spans="1:48" ht="14.25" hidden="1" customHeight="1">
      <c r="P69" s="437"/>
    </row>
    <row r="70" spans="1:48" ht="27" hidden="1" customHeight="1">
      <c r="P70" s="437"/>
      <c r="V70" s="2220" t="s">
        <v>1538</v>
      </c>
      <c r="W70" s="2220"/>
      <c r="X70" s="2220"/>
      <c r="Y70" s="2220"/>
      <c r="Z70" s="2220"/>
      <c r="AA70" s="2220"/>
      <c r="AB70" s="2220"/>
      <c r="AC70" s="2220"/>
      <c r="AD70" s="2220"/>
      <c r="AE70" s="2220"/>
      <c r="AF70" s="2220"/>
      <c r="AG70" s="2220"/>
      <c r="AH70" s="2220"/>
      <c r="AI70" s="2220"/>
      <c r="AJ70" s="2220"/>
      <c r="AK70" s="2220"/>
      <c r="AL70" s="2220"/>
      <c r="AM70" s="2220"/>
      <c r="AN70" s="2220"/>
      <c r="AO70" s="2220"/>
      <c r="AP70" s="2220"/>
      <c r="AQ70" s="2220"/>
    </row>
    <row r="71" spans="1:48" ht="18" hidden="1" customHeight="1">
      <c r="P71" s="437"/>
      <c r="V71" s="2220" t="s">
        <v>1537</v>
      </c>
      <c r="W71" s="2220"/>
      <c r="X71" s="2220"/>
      <c r="Y71" s="2220"/>
      <c r="Z71" s="2220"/>
      <c r="AA71" s="2220"/>
      <c r="AB71" s="2220"/>
      <c r="AC71" s="2220"/>
      <c r="AD71" s="2220"/>
      <c r="AE71" s="2220"/>
      <c r="AF71" s="2220"/>
      <c r="AG71" s="2220"/>
      <c r="AH71" s="2220"/>
      <c r="AI71" s="2220"/>
      <c r="AJ71" s="2220"/>
      <c r="AK71" s="2220"/>
      <c r="AL71" s="2220"/>
      <c r="AM71" s="2220"/>
      <c r="AN71" s="2220"/>
      <c r="AO71" s="2220"/>
      <c r="AP71" s="2220"/>
      <c r="AQ71" s="2220"/>
    </row>
  </sheetData>
  <sheetProtection formatColumns="0" formatRows="0" insertRows="0" deleteColumns="0" deleteRows="0" sort="0" autoFilter="0"/>
  <mergeCells count="122">
    <mergeCell ref="AN19:AN22"/>
    <mergeCell ref="AO19:AO22"/>
    <mergeCell ref="E2:E17"/>
    <mergeCell ref="X2:AF2"/>
    <mergeCell ref="AG2:AP2"/>
    <mergeCell ref="F3:F16"/>
    <mergeCell ref="X3:AF3"/>
    <mergeCell ref="AG3:AP3"/>
    <mergeCell ref="G4:G15"/>
    <mergeCell ref="X4:AF4"/>
    <mergeCell ref="AG4:AP4"/>
    <mergeCell ref="H5:H14"/>
    <mergeCell ref="X5:AF5"/>
    <mergeCell ref="AG5:AP5"/>
    <mergeCell ref="I6:I13"/>
    <mergeCell ref="Q6:Q13"/>
    <mergeCell ref="X6:AF6"/>
    <mergeCell ref="AG6:AP6"/>
    <mergeCell ref="AQ9:AQ12"/>
    <mergeCell ref="J7:J12"/>
    <mergeCell ref="R7:R12"/>
    <mergeCell ref="X7:AF7"/>
    <mergeCell ref="AG7:AP7"/>
    <mergeCell ref="S8:S11"/>
    <mergeCell ref="U35:V35"/>
    <mergeCell ref="X35:AE35"/>
    <mergeCell ref="AG35:AN35"/>
    <mergeCell ref="K8:K11"/>
    <mergeCell ref="L9:L10"/>
    <mergeCell ref="AC8:AC11"/>
    <mergeCell ref="AE8:AE11"/>
    <mergeCell ref="AD8:AD11"/>
    <mergeCell ref="AF8:AF11"/>
    <mergeCell ref="AL8:AL11"/>
    <mergeCell ref="AM8:AM11"/>
    <mergeCell ref="AN8:AN11"/>
    <mergeCell ref="AO8:AO11"/>
    <mergeCell ref="U30:AN30"/>
    <mergeCell ref="U31:AN31"/>
    <mergeCell ref="U33:V33"/>
    <mergeCell ref="AL19:AL22"/>
    <mergeCell ref="AM19:AM22"/>
    <mergeCell ref="U36:V36"/>
    <mergeCell ref="X36:AE36"/>
    <mergeCell ref="AG36:AN36"/>
    <mergeCell ref="X33:AE33"/>
    <mergeCell ref="AG33:AN33"/>
    <mergeCell ref="U34:V34"/>
    <mergeCell ref="X34:AE34"/>
    <mergeCell ref="AG34:AN34"/>
    <mergeCell ref="J54:J59"/>
    <mergeCell ref="R54:R59"/>
    <mergeCell ref="X54:AF54"/>
    <mergeCell ref="AG54:AP54"/>
    <mergeCell ref="K55:K58"/>
    <mergeCell ref="AD48:AE48"/>
    <mergeCell ref="AM48:AN48"/>
    <mergeCell ref="X41:AF41"/>
    <mergeCell ref="AG41:AO41"/>
    <mergeCell ref="U42:AP42"/>
    <mergeCell ref="U43:U47"/>
    <mergeCell ref="V43:V47"/>
    <mergeCell ref="X43:AE43"/>
    <mergeCell ref="AF43:AF47"/>
    <mergeCell ref="AG43:AN43"/>
    <mergeCell ref="AO43:AO47"/>
    <mergeCell ref="AC55:AC58"/>
    <mergeCell ref="AE55:AE58"/>
    <mergeCell ref="AD55:AD58"/>
    <mergeCell ref="E49:E64"/>
    <mergeCell ref="X49:AF49"/>
    <mergeCell ref="AG49:AP49"/>
    <mergeCell ref="F50:F63"/>
    <mergeCell ref="X50:AF50"/>
    <mergeCell ref="AG50:AP50"/>
    <mergeCell ref="G51:G62"/>
    <mergeCell ref="X51:AF51"/>
    <mergeCell ref="AG51:AP51"/>
    <mergeCell ref="H52:H61"/>
    <mergeCell ref="X52:AF52"/>
    <mergeCell ref="AG52:AP52"/>
    <mergeCell ref="I53:I60"/>
    <mergeCell ref="Q53:Q60"/>
    <mergeCell ref="L56:L57"/>
    <mergeCell ref="AF55:AF58"/>
    <mergeCell ref="AH44:AK44"/>
    <mergeCell ref="AL44:AN45"/>
    <mergeCell ref="AH45:AH47"/>
    <mergeCell ref="X53:AF53"/>
    <mergeCell ref="AG53:AP53"/>
    <mergeCell ref="AI45:AK45"/>
    <mergeCell ref="AI46:AI47"/>
    <mergeCell ref="AJ46:AK46"/>
    <mergeCell ref="AL46:AL47"/>
    <mergeCell ref="AM46:AN47"/>
    <mergeCell ref="AP43:AP47"/>
    <mergeCell ref="X44:X47"/>
    <mergeCell ref="AG44:AG47"/>
    <mergeCell ref="V71:AQ71"/>
    <mergeCell ref="U39:V39"/>
    <mergeCell ref="X39:AE39"/>
    <mergeCell ref="AG39:AN39"/>
    <mergeCell ref="U38:V38"/>
    <mergeCell ref="X38:AE38"/>
    <mergeCell ref="AG38:AN38"/>
    <mergeCell ref="AL55:AL58"/>
    <mergeCell ref="AM55:AM58"/>
    <mergeCell ref="AN55:AN58"/>
    <mergeCell ref="AO55:AO58"/>
    <mergeCell ref="V70:AQ70"/>
    <mergeCell ref="AQ42:AQ47"/>
    <mergeCell ref="AQ56:AQ59"/>
    <mergeCell ref="V67:AQ67"/>
    <mergeCell ref="V68:AQ68"/>
    <mergeCell ref="Y44:AB44"/>
    <mergeCell ref="Y45:Y47"/>
    <mergeCell ref="Z45:AB45"/>
    <mergeCell ref="AA46:AB46"/>
    <mergeCell ref="Z46:Z47"/>
    <mergeCell ref="AC46:AC47"/>
    <mergeCell ref="AD46:AE47"/>
    <mergeCell ref="AC44:AE45"/>
  </mergeCells>
  <dataValidations count="8">
    <dataValidation type="list" allowBlank="1" showInputMessage="1" showErrorMessage="1" errorTitle="Ошибка" error="Выберите значение из списка" sqref="V65592 V131128 V196664 V262200 V327736 V393272 V458808 V524344 V589880 V655416 V720952 V786488 V852024 V917560 V983096">
      <formula1>kind_of_heat_transfer</formula1>
    </dataValidation>
    <dataValidation type="list" allowBlank="1" showInputMessage="1" showErrorMessage="1" errorTitle="Ошибка" error="Выберите значение из списка" sqref="X983094:Z983094 X65590:Z65590 X131126:Z131126 X196662:Z196662 X262198:Z262198 X327734:Z327734 X393270:Z393270 X458806:Z458806 X524342:Z524342 X589878:Z589878 X655414:Z655414 X720950:Z720950 X786486:Z786486 X852022:Z852022 X917558:Z917558 AG983094:AI983094 AG65590:AI65590 AG131126:AI131126 AG196662:AI196662 AG262198:AI262198 AG327734:AI327734 AG393270:AI393270 AG458806:AI458806 AG524342:AI524342 AG589878:AI589878 AG655414:AI655414 AG720950:AI720950 AG786486:AI786486 AG852022:AI852022 AG917558:AI917558">
      <formula1>kind_of_scheme_in</formula1>
    </dataValidation>
    <dataValidation type="list" allowBlank="1" showInputMessage="1" errorTitle="Ошибка" error="Выберите значение из списка" prompt="Выберите значение из списка" sqref="X983095:AP983095 X65591:AP65591 X131127:AP131127 X196663:AP196663 X262199:AP262199 X327735:AP327735 X393271:AP393271 X458807:AP458807 X524343:AP524343 X589879:AP589879 X655415:AP655415 X720951:AP720951 X786487:AP786487 X852023:AP852023 X917559:AP917559">
      <formula1>kind_of_cons</formula1>
    </dataValidation>
    <dataValidation allowBlank="1" sqref="U131130:AQ131136 U196666:AQ196672 U262202:AQ262208 U327738:AQ327744 U393274:AQ393280 U458810:AQ458816 U524346:AQ524352 U589882:AQ589888 U655418:AQ655424 U720954:AQ720960 U786490:AQ786496 U852026:AQ852032 U917562:AQ917568 U983098:AQ983104 U65594:AQ65600"/>
    <dataValidation type="textLength" operator="lessThanOrEqual" allowBlank="1" showInputMessage="1" showErrorMessage="1" errorTitle="Ошибка" error="Допускается ввод не более 900 символов!" sqref="AQ65586:AQ65593 AQ131122:AQ131129 AQ196658:AQ196665 AQ262194:AQ262201 AQ327730:AQ327737 AQ393266:AQ393273 AQ458802:AQ458809 AQ524338:AQ524345 AQ589874:AQ589881 AQ655410:AQ655417 AQ720946:AQ720953 AQ786482:AQ786489 AQ852018:AQ852025 AQ917554:AQ917561 AQ983090:AQ983097">
      <formula1>900</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AC65592 AC131128 AC196664 AC262200 AC327736 AC393272 AC458808 AC524344 AC589880 AC655416 AC720952 AC786488 AC852024 AC917560 AC983096 AE65592 AE131128 AE196664 AE262200 AE327736 AE393272 AE458808 AE524344 AE589880 AE655416 AE720952 AE786488 AE852024 AE917560 AE983096 AN55 AL65592 AL131128 AL196664 AL262200 AL327736 AL393272 AL458808 AL524344 AL589880 AL655416 AL720952 AL786488 AL852024 AL917560 AL983096 AN65592 AN131128 AN196664 AN262200 AN327736 AN393272 AN458808 AN524344 AN589880 AN655416 AN720952 AN786488 AN852024 AN917560 AN983096 AC55 AE55 AL55 AE8 AC8 AL19:AL21 AN19:AN21 AN8 AL8"/>
    <dataValidation allowBlank="1" promptTitle="checkPeriodRange" sqref="AB65593 AB131129 AB196665 AB262201 AB327737 AB393273 AB458809 AB524345 AB589881 AB655417 AB720953 AB786489 AB852025 AB917561 AB983097 AB10:AB11 AK65593 AK131129 AK196665 AK262201 AK327737 AK393273 AK458809 AK524345 AK589881 AK655417 AK720953 AK786489 AK852025 AK917561 AK983097 AK10:AK11 AK57 AK22 AB57"/>
    <dataValidation allowBlank="1" showInputMessage="1" showErrorMessage="1" prompt="Для выбора выполните двойной щелчок левой клавиши мыши по соответствующей ячейке." sqref="AD65592 AD131128 AD196664 AD262200 AD327736 AD393272 AD458808 AD524344 AD589880 AD655416 AD720952 AD786488 AD852024 AD917560 AD983096 AF131128 AF458808 AF196664 AF262200 AF327736 AF393272 AF524344 AF589880 AF655416 AF720952 AF786488 AF852024 AF917560 AF983096 AF65592 AM65592 AM131128 AM196664 AM262200 AM327736 AM393272 AM458808 AM524344 AM589880 AM655416 AM720952 AM786488 AM852024 AM917560 AM983096 AO393272 AO327736 AO524344 AO55 AO589880 AO655416 AO19:AO21 AO720952 AO786488 AO852024 AO917560 AO983096 AO65592 AO131128 AO458808 AF55 AO196664 AF8 AD8 AM55 AM19:AM21 AO262200 AD55 AO8 AM8"/>
  </dataValidations>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39997558519241921"/>
  </sheetPr>
  <dimension ref="A1:AZ69"/>
  <sheetViews>
    <sheetView showGridLines="0" topLeftCell="R26" zoomScale="90" workbookViewId="0"/>
  </sheetViews>
  <sheetFormatPr defaultColWidth="10.5703125" defaultRowHeight="14.25" customHeight="1"/>
  <cols>
    <col min="1" max="1" width="10.5703125" style="1742" hidden="1"/>
    <col min="2" max="2" width="11" style="1742" hidden="1" customWidth="1"/>
    <col min="3" max="3" width="10.5703125" style="1742" hidden="1"/>
    <col min="4" max="4" width="11.85546875" style="1742" hidden="1" customWidth="1"/>
    <col min="5" max="5" width="10" style="1742" hidden="1" customWidth="1"/>
    <col min="6" max="6" width="8.7109375" style="1742" hidden="1" customWidth="1"/>
    <col min="7" max="7" width="7.5703125" style="1742" hidden="1" customWidth="1"/>
    <col min="8" max="8" width="11.42578125" style="1742" hidden="1" customWidth="1"/>
    <col min="9" max="9" width="12" style="1742" hidden="1" customWidth="1"/>
    <col min="10" max="10" width="9.85546875" style="1742" hidden="1" customWidth="1"/>
    <col min="11" max="11" width="11.42578125" style="1742" hidden="1" customWidth="1"/>
    <col min="12" max="12" width="19.140625" style="1741" hidden="1" customWidth="1"/>
    <col min="13" max="14" width="12.28515625" style="1683" hidden="1" customWidth="1"/>
    <col min="15" max="15" width="23.42578125" style="1683" hidden="1" customWidth="1"/>
    <col min="16" max="16" width="3.7109375" style="1683" hidden="1" customWidth="1"/>
    <col min="17" max="17" width="3.7109375" style="1670" hidden="1" customWidth="1"/>
    <col min="18" max="18" width="3.7109375" style="1674" customWidth="1"/>
    <col min="19" max="19" width="12.7109375" style="1713" customWidth="1"/>
    <col min="20" max="20" width="32" style="1829" customWidth="1"/>
    <col min="21" max="21" width="0.140625" style="1829" customWidth="1"/>
    <col min="22" max="23" width="21.7109375" style="1829" hidden="1" customWidth="1"/>
    <col min="24" max="24" width="11.7109375" style="1829" hidden="1" customWidth="1"/>
    <col min="25" max="25" width="3.7109375" style="1829" hidden="1" customWidth="1"/>
    <col min="26" max="26" width="11.7109375" style="1829" hidden="1" customWidth="1"/>
    <col min="27" max="27" width="8.5703125" style="1829" hidden="1" customWidth="1"/>
    <col min="28" max="28" width="5.42578125" style="1829" customWidth="1"/>
    <col min="29" max="30" width="3.7109375" style="1829" customWidth="1"/>
    <col min="31" max="31" width="24.7109375" style="1829" customWidth="1"/>
    <col min="32" max="34" width="3.7109375" style="1829" customWidth="1"/>
    <col min="35" max="35" width="24.7109375" style="1829" customWidth="1"/>
    <col min="36" max="38" width="3.7109375" style="1829" customWidth="1"/>
    <col min="39" max="39" width="18.85546875" style="1829" customWidth="1"/>
    <col min="40" max="41" width="21.7109375" style="1829" customWidth="1"/>
    <col min="42" max="42" width="11.7109375" style="1829" customWidth="1"/>
    <col min="43" max="43" width="3.7109375" style="1829" customWidth="1"/>
    <col min="44" max="44" width="11.7109375" style="1829" customWidth="1"/>
    <col min="45" max="45" width="8.5703125" style="1829" customWidth="1"/>
    <col min="46" max="46" width="4.7109375" style="1829" customWidth="1"/>
    <col min="47" max="47" width="115.7109375" style="1829" customWidth="1"/>
    <col min="48" max="49" width="10.5703125" style="1755"/>
    <col min="50" max="50" width="11.140625" style="1755" customWidth="1"/>
    <col min="51" max="52" width="10.5703125" style="1755"/>
  </cols>
  <sheetData>
    <row r="1" spans="1:52" ht="14.25" hidden="1" customHeight="1">
      <c r="W1" s="254"/>
      <c r="X1" s="254"/>
      <c r="AO1" s="254"/>
      <c r="AP1" s="254"/>
    </row>
    <row r="2" spans="1:52" ht="21" hidden="1" customHeight="1">
      <c r="A2" s="1242"/>
      <c r="B2" s="1242"/>
      <c r="C2" s="1242"/>
      <c r="D2" s="1242"/>
      <c r="E2" s="2221">
        <v>1</v>
      </c>
      <c r="F2" s="1242"/>
      <c r="G2" s="1242"/>
      <c r="H2" s="1242"/>
      <c r="I2" s="1242"/>
      <c r="J2" s="1242"/>
      <c r="K2" s="1242"/>
      <c r="L2" s="1243"/>
      <c r="M2" s="1244"/>
      <c r="N2" s="1244"/>
      <c r="O2" s="1244"/>
      <c r="P2" s="1277"/>
      <c r="Q2" s="770"/>
      <c r="R2" s="279"/>
      <c r="S2" s="1219" t="e">
        <f>INDEX(PT_DIFFERENTIATION_NUM_NTAR,MATCH(A2,PT_DIFFERENTIATION_NTAR_ID,0))</f>
        <v>#N/A</v>
      </c>
      <c r="T2" s="216" t="s">
        <v>124</v>
      </c>
      <c r="U2" s="218"/>
      <c r="V2" s="2216"/>
      <c r="W2" s="2216"/>
      <c r="X2" s="2216"/>
      <c r="Y2" s="2216"/>
      <c r="Z2" s="2216"/>
      <c r="AA2" s="2217"/>
      <c r="AB2" s="2215" t="e">
        <f>INDEX(PT_DIFFERENTIATION_NTAR,MATCH(A2,PT_DIFFERENTIATION_NTAR_ID,0))</f>
        <v>#N/A</v>
      </c>
      <c r="AC2" s="2216"/>
      <c r="AD2" s="2216"/>
      <c r="AE2" s="2216"/>
      <c r="AF2" s="2216"/>
      <c r="AG2" s="2216"/>
      <c r="AH2" s="2216"/>
      <c r="AI2" s="2216"/>
      <c r="AJ2" s="2216"/>
      <c r="AK2" s="2216"/>
      <c r="AL2" s="2216"/>
      <c r="AM2" s="2216"/>
      <c r="AN2" s="2216"/>
      <c r="AO2" s="2216"/>
      <c r="AP2" s="2216"/>
      <c r="AQ2" s="2216"/>
      <c r="AR2" s="2216"/>
      <c r="AS2" s="2216"/>
      <c r="AT2" s="2217"/>
      <c r="AU2" s="1138" t="s">
        <v>1462</v>
      </c>
      <c r="AW2" s="428"/>
      <c r="AX2" s="428" t="str">
        <f t="shared" ref="AX2:AX8" si="0">IF(T2="","",T2)</f>
        <v>Наименование тарифа</v>
      </c>
      <c r="AY2" s="428"/>
      <c r="AZ2" s="428"/>
    </row>
    <row r="3" spans="1:52" ht="21" hidden="1" customHeight="1">
      <c r="A3" s="1242"/>
      <c r="B3" s="1242"/>
      <c r="C3" s="1242"/>
      <c r="D3" s="1242"/>
      <c r="E3" s="2222"/>
      <c r="F3" s="2221">
        <v>1</v>
      </c>
      <c r="G3" s="1242"/>
      <c r="H3" s="1242"/>
      <c r="I3" s="1242"/>
      <c r="J3" s="1242"/>
      <c r="K3" s="1242"/>
      <c r="L3" s="1243"/>
      <c r="M3" s="1244"/>
      <c r="N3" s="1244"/>
      <c r="O3" s="1244"/>
      <c r="P3" s="1278"/>
      <c r="Q3" s="1279"/>
      <c r="R3" s="277"/>
      <c r="S3" s="1219" t="e">
        <f>INDEX(PT_DIFFERENTIATION_NUM_TER,MATCH(B3,PT_DIFFERENTIATION_TER_ID,0))</f>
        <v>#N/A</v>
      </c>
      <c r="T3" s="228" t="s">
        <v>1463</v>
      </c>
      <c r="U3" s="218"/>
      <c r="V3" s="2216"/>
      <c r="W3" s="2216"/>
      <c r="X3" s="2216"/>
      <c r="Y3" s="2216"/>
      <c r="Z3" s="2216"/>
      <c r="AA3" s="2217"/>
      <c r="AB3" s="2215" t="e">
        <f>INDEX(PT_DIFFERENTIATION_TER,MATCH(B3,PT_DIFFERENTIATION_TER_ID,0))</f>
        <v>#N/A</v>
      </c>
      <c r="AC3" s="2216"/>
      <c r="AD3" s="2216"/>
      <c r="AE3" s="2216"/>
      <c r="AF3" s="2216"/>
      <c r="AG3" s="2216"/>
      <c r="AH3" s="2216"/>
      <c r="AI3" s="2216"/>
      <c r="AJ3" s="2216"/>
      <c r="AK3" s="2216"/>
      <c r="AL3" s="2216"/>
      <c r="AM3" s="2216"/>
      <c r="AN3" s="2216"/>
      <c r="AO3" s="2216"/>
      <c r="AP3" s="2216"/>
      <c r="AQ3" s="2216"/>
      <c r="AR3" s="2216"/>
      <c r="AS3" s="2216"/>
      <c r="AT3" s="2217"/>
      <c r="AU3" s="1138" t="s">
        <v>1464</v>
      </c>
      <c r="AW3" s="428"/>
      <c r="AX3" s="428" t="str">
        <f t="shared" si="0"/>
        <v>Территория действия тарифа</v>
      </c>
      <c r="AY3" s="428"/>
      <c r="AZ3" s="428"/>
    </row>
    <row r="4" spans="1:52" ht="22.5" hidden="1" customHeight="1">
      <c r="A4" s="1242"/>
      <c r="B4" s="1242"/>
      <c r="C4" s="1242"/>
      <c r="D4" s="1242"/>
      <c r="E4" s="2222"/>
      <c r="F4" s="2222"/>
      <c r="G4" s="2221">
        <v>1</v>
      </c>
      <c r="H4" s="1242"/>
      <c r="I4" s="1242"/>
      <c r="J4" s="1242"/>
      <c r="K4" s="1242"/>
      <c r="L4" s="1243"/>
      <c r="M4" s="1244"/>
      <c r="N4" s="1244"/>
      <c r="O4" s="1244"/>
      <c r="P4" s="1280"/>
      <c r="Q4" s="1279"/>
      <c r="R4" s="277"/>
      <c r="S4" s="1219" t="e">
        <f>INDEX(PT_DIFFERENTIATION_NUM_CS,MATCH(C4,PT_DIFFERENTIATION_CS_ID,0))</f>
        <v>#N/A</v>
      </c>
      <c r="T4" s="229" t="s">
        <v>1465</v>
      </c>
      <c r="U4" s="218"/>
      <c r="V4" s="2216"/>
      <c r="W4" s="2216"/>
      <c r="X4" s="2216"/>
      <c r="Y4" s="2216"/>
      <c r="Z4" s="2216"/>
      <c r="AA4" s="2217"/>
      <c r="AB4" s="2215" t="e">
        <f>INDEX(PT_DIFFERENTIATION_CS,MATCH(C4,PT_DIFFERENTIATION_CS_ID,0))</f>
        <v>#N/A</v>
      </c>
      <c r="AC4" s="2216"/>
      <c r="AD4" s="2216"/>
      <c r="AE4" s="2216"/>
      <c r="AF4" s="2216"/>
      <c r="AG4" s="2216"/>
      <c r="AH4" s="2216"/>
      <c r="AI4" s="2216"/>
      <c r="AJ4" s="2216"/>
      <c r="AK4" s="2216"/>
      <c r="AL4" s="2216"/>
      <c r="AM4" s="2216"/>
      <c r="AN4" s="2216"/>
      <c r="AO4" s="2216"/>
      <c r="AP4" s="2216"/>
      <c r="AQ4" s="2216"/>
      <c r="AR4" s="2216"/>
      <c r="AS4" s="2216"/>
      <c r="AT4" s="2217"/>
      <c r="AU4" s="1138" t="s">
        <v>1466</v>
      </c>
      <c r="AW4" s="428"/>
      <c r="AX4" s="428" t="str">
        <f t="shared" si="0"/>
        <v xml:space="preserve">Наименование системы теплоснабжения </v>
      </c>
      <c r="AY4" s="428"/>
      <c r="AZ4" s="428"/>
    </row>
    <row r="5" spans="1:52" ht="21" hidden="1" customHeight="1">
      <c r="A5" s="1242"/>
      <c r="B5" s="1242"/>
      <c r="C5" s="1242"/>
      <c r="D5" s="1242"/>
      <c r="E5" s="2222"/>
      <c r="F5" s="2222"/>
      <c r="G5" s="2222"/>
      <c r="H5" s="2221">
        <v>1</v>
      </c>
      <c r="I5" s="1242"/>
      <c r="J5" s="1242"/>
      <c r="K5" s="1242"/>
      <c r="L5" s="1243"/>
      <c r="M5" s="1244"/>
      <c r="N5" s="1244"/>
      <c r="O5" s="1244"/>
      <c r="P5" s="1280"/>
      <c r="Q5" s="1279"/>
      <c r="R5" s="277"/>
      <c r="S5" s="1219" t="e">
        <f>INDEX(PT_DIFFERENTIATION_NUM_IST_TE,MATCH(D5,PT_DIFFERENTIATION_IST_TE_ID,0))</f>
        <v>#N/A</v>
      </c>
      <c r="T5" s="230" t="s">
        <v>1467</v>
      </c>
      <c r="U5" s="218"/>
      <c r="V5" s="2216"/>
      <c r="W5" s="2216"/>
      <c r="X5" s="2216"/>
      <c r="Y5" s="2216"/>
      <c r="Z5" s="2216"/>
      <c r="AA5" s="2217"/>
      <c r="AB5" s="2215" t="e">
        <f>INDEX(PT_DIFFERENTIATION_IST_TE,MATCH(D5,PT_DIFFERENTIATION_IST_TE_ID,0))</f>
        <v>#N/A</v>
      </c>
      <c r="AC5" s="2216"/>
      <c r="AD5" s="2216"/>
      <c r="AE5" s="2216"/>
      <c r="AF5" s="2216"/>
      <c r="AG5" s="2216"/>
      <c r="AH5" s="2216"/>
      <c r="AI5" s="2216"/>
      <c r="AJ5" s="2216"/>
      <c r="AK5" s="2216"/>
      <c r="AL5" s="2216"/>
      <c r="AM5" s="2216"/>
      <c r="AN5" s="2216"/>
      <c r="AO5" s="2216"/>
      <c r="AP5" s="2216"/>
      <c r="AQ5" s="2216"/>
      <c r="AR5" s="2216"/>
      <c r="AS5" s="2216"/>
      <c r="AT5" s="2217"/>
      <c r="AU5" s="1138" t="s">
        <v>1468</v>
      </c>
      <c r="AW5" s="428"/>
      <c r="AX5" s="428" t="str">
        <f t="shared" si="0"/>
        <v xml:space="preserve">Источник тепловой энергии  </v>
      </c>
      <c r="AY5" s="428"/>
      <c r="AZ5" s="428"/>
    </row>
    <row r="6" spans="1:52" s="1755" customFormat="1" ht="14.25" hidden="1" customHeight="1">
      <c r="A6" s="1226"/>
      <c r="B6" s="1226"/>
      <c r="C6" s="1226"/>
      <c r="D6" s="1226"/>
      <c r="E6" s="2222"/>
      <c r="F6" s="2222"/>
      <c r="G6" s="2222"/>
      <c r="H6" s="2222"/>
      <c r="I6" s="2223" t="e">
        <f>S5&amp;".1"</f>
        <v>#N/A</v>
      </c>
      <c r="J6" s="1226"/>
      <c r="K6" s="1226"/>
      <c r="L6" s="1229" t="s">
        <v>1469</v>
      </c>
      <c r="M6" s="438"/>
      <c r="N6" s="438"/>
      <c r="O6" s="438"/>
      <c r="P6" s="2143">
        <v>1</v>
      </c>
      <c r="Q6" s="1214"/>
      <c r="R6" s="280"/>
      <c r="S6" s="932"/>
      <c r="T6" s="1261"/>
      <c r="U6" s="1262"/>
      <c r="V6" s="2250"/>
      <c r="W6" s="2250"/>
      <c r="X6" s="2250"/>
      <c r="Y6" s="2250"/>
      <c r="Z6" s="2250"/>
      <c r="AA6" s="2251"/>
      <c r="AB6" s="2249"/>
      <c r="AC6" s="2250"/>
      <c r="AD6" s="2250"/>
      <c r="AE6" s="2250"/>
      <c r="AF6" s="2250"/>
      <c r="AG6" s="2250"/>
      <c r="AH6" s="2250"/>
      <c r="AI6" s="2250"/>
      <c r="AJ6" s="2250"/>
      <c r="AK6" s="2250"/>
      <c r="AL6" s="2250"/>
      <c r="AM6" s="2250"/>
      <c r="AN6" s="2250"/>
      <c r="AO6" s="2250"/>
      <c r="AP6" s="2250"/>
      <c r="AQ6" s="2250"/>
      <c r="AR6" s="2250"/>
      <c r="AS6" s="2250"/>
      <c r="AT6" s="2251"/>
      <c r="AU6" s="1263"/>
      <c r="AW6" s="428"/>
      <c r="AX6" s="428" t="str">
        <f t="shared" si="0"/>
        <v/>
      </c>
      <c r="AY6" s="428"/>
      <c r="AZ6" s="428"/>
    </row>
    <row r="7" spans="1:52" s="1755" customFormat="1" ht="14.25" hidden="1" customHeight="1">
      <c r="A7" s="1226"/>
      <c r="B7" s="1226"/>
      <c r="C7" s="1226"/>
      <c r="D7" s="1226"/>
      <c r="E7" s="2222"/>
      <c r="F7" s="2222"/>
      <c r="G7" s="2222"/>
      <c r="H7" s="2222"/>
      <c r="I7" s="2224"/>
      <c r="J7" s="2223" t="e">
        <f>S5&amp;".1"</f>
        <v>#N/A</v>
      </c>
      <c r="K7" s="1226"/>
      <c r="L7" s="1229"/>
      <c r="M7" s="438"/>
      <c r="N7" s="438"/>
      <c r="O7" s="438"/>
      <c r="P7" s="2143"/>
      <c r="Q7" s="2143">
        <v>1</v>
      </c>
      <c r="R7" s="281"/>
      <c r="S7" s="932"/>
      <c r="T7" s="1271"/>
      <c r="U7" s="1262"/>
      <c r="V7" s="2250"/>
      <c r="W7" s="2250"/>
      <c r="X7" s="2250"/>
      <c r="Y7" s="2250"/>
      <c r="Z7" s="2250"/>
      <c r="AA7" s="2251"/>
      <c r="AB7" s="2249"/>
      <c r="AC7" s="2250"/>
      <c r="AD7" s="2250"/>
      <c r="AE7" s="2250"/>
      <c r="AF7" s="2250"/>
      <c r="AG7" s="2250"/>
      <c r="AH7" s="2250"/>
      <c r="AI7" s="2250"/>
      <c r="AJ7" s="2250"/>
      <c r="AK7" s="2250"/>
      <c r="AL7" s="2250"/>
      <c r="AM7" s="2250"/>
      <c r="AN7" s="2250"/>
      <c r="AO7" s="2250"/>
      <c r="AP7" s="2250"/>
      <c r="AQ7" s="2250"/>
      <c r="AR7" s="2250"/>
      <c r="AS7" s="2250"/>
      <c r="AT7" s="2251"/>
      <c r="AU7" s="1263"/>
      <c r="AW7" s="428"/>
      <c r="AX7" s="428" t="str">
        <f t="shared" si="0"/>
        <v/>
      </c>
      <c r="AY7" s="428"/>
      <c r="AZ7" s="428"/>
    </row>
    <row r="8" spans="1:52" ht="21" hidden="1" customHeight="1">
      <c r="A8" s="1242"/>
      <c r="B8" s="1242"/>
      <c r="C8" s="1242"/>
      <c r="D8" s="1242"/>
      <c r="E8" s="2222"/>
      <c r="F8" s="2222"/>
      <c r="G8" s="2222"/>
      <c r="H8" s="2222"/>
      <c r="I8" s="2224"/>
      <c r="J8" s="2224"/>
      <c r="K8" s="2223" t="e">
        <f>S5&amp;".1"</f>
        <v>#N/A</v>
      </c>
      <c r="L8" s="1243"/>
      <c r="P8" s="2143"/>
      <c r="Q8" s="2143"/>
      <c r="R8" s="2275">
        <v>1</v>
      </c>
      <c r="S8" s="2272" t="e">
        <f>$K8</f>
        <v>#N/A</v>
      </c>
      <c r="T8" s="2269"/>
      <c r="U8" s="218"/>
      <c r="V8" s="1664"/>
      <c r="W8" s="1666"/>
      <c r="X8" s="2225"/>
      <c r="Y8" s="2017" t="s">
        <v>62</v>
      </c>
      <c r="Z8" s="2225"/>
      <c r="AA8" s="2017" t="s">
        <v>62</v>
      </c>
      <c r="AB8" s="2017" t="s">
        <v>55</v>
      </c>
      <c r="AC8" s="2268"/>
      <c r="AD8" s="2267">
        <v>1</v>
      </c>
      <c r="AE8" s="2276"/>
      <c r="AF8" s="2017" t="s">
        <v>55</v>
      </c>
      <c r="AG8" s="2268"/>
      <c r="AH8" s="2267">
        <v>1</v>
      </c>
      <c r="AI8" s="2276"/>
      <c r="AJ8" s="2017" t="s">
        <v>55</v>
      </c>
      <c r="AK8" s="231"/>
      <c r="AL8" s="1220">
        <v>1</v>
      </c>
      <c r="AM8" s="1270"/>
      <c r="AN8" s="1664"/>
      <c r="AO8" s="1666"/>
      <c r="AP8" s="1591"/>
      <c r="AQ8" s="1322" t="s">
        <v>62</v>
      </c>
      <c r="AR8" s="1591"/>
      <c r="AS8" s="1322" t="s">
        <v>62</v>
      </c>
      <c r="AT8" s="1672"/>
      <c r="AU8" s="2243" t="s">
        <v>1539</v>
      </c>
      <c r="AV8" s="439" t="e">
        <f ca="1">STRCHECKDATE(V11:AT11)</f>
        <v>#NAME?</v>
      </c>
      <c r="AW8" s="428"/>
      <c r="AX8" s="428" t="str">
        <f t="shared" si="0"/>
        <v/>
      </c>
      <c r="AY8" s="428"/>
      <c r="AZ8" s="428"/>
    </row>
    <row r="9" spans="1:52" ht="11.25" hidden="1" customHeight="1">
      <c r="A9" s="1242"/>
      <c r="B9" s="1242"/>
      <c r="C9" s="1242"/>
      <c r="D9" s="1242"/>
      <c r="E9" s="2222"/>
      <c r="F9" s="2222"/>
      <c r="G9" s="2222"/>
      <c r="H9" s="2222"/>
      <c r="I9" s="2224"/>
      <c r="J9" s="2224"/>
      <c r="K9" s="2223"/>
      <c r="L9" s="1243"/>
      <c r="P9" s="2143"/>
      <c r="Q9" s="2143"/>
      <c r="R9" s="2275"/>
      <c r="S9" s="2273"/>
      <c r="T9" s="2270"/>
      <c r="U9" s="218"/>
      <c r="V9" s="1680"/>
      <c r="W9" s="1685"/>
      <c r="X9" s="2225"/>
      <c r="Y9" s="2017"/>
      <c r="Z9" s="2225"/>
      <c r="AA9" s="2017"/>
      <c r="AB9" s="2017"/>
      <c r="AC9" s="2268"/>
      <c r="AD9" s="2267"/>
      <c r="AE9" s="2276"/>
      <c r="AF9" s="2017"/>
      <c r="AG9" s="2268"/>
      <c r="AH9" s="2267"/>
      <c r="AI9" s="2276"/>
      <c r="AJ9" s="2017"/>
      <c r="AK9" s="238"/>
      <c r="AL9" s="351"/>
      <c r="AM9" s="350" t="s">
        <v>1540</v>
      </c>
      <c r="AN9" s="1680"/>
      <c r="AO9" s="1686"/>
      <c r="AP9" s="1680"/>
      <c r="AQ9" s="1680"/>
      <c r="AR9" s="1680"/>
      <c r="AS9" s="1680"/>
      <c r="AT9" s="1687"/>
      <c r="AU9" s="2244"/>
      <c r="AW9" s="428"/>
      <c r="AX9" s="428"/>
      <c r="AY9" s="428"/>
      <c r="AZ9" s="428"/>
    </row>
    <row r="10" spans="1:52" ht="11.25" hidden="1" customHeight="1">
      <c r="A10" s="1242"/>
      <c r="B10" s="1242"/>
      <c r="C10" s="1242"/>
      <c r="D10" s="1242"/>
      <c r="E10" s="2222"/>
      <c r="F10" s="2222"/>
      <c r="G10" s="2222"/>
      <c r="H10" s="2222"/>
      <c r="I10" s="2224"/>
      <c r="J10" s="2224"/>
      <c r="K10" s="2223"/>
      <c r="L10" s="1243"/>
      <c r="P10" s="2143"/>
      <c r="Q10" s="2143"/>
      <c r="R10" s="2275"/>
      <c r="S10" s="2273"/>
      <c r="T10" s="2270"/>
      <c r="U10" s="218"/>
      <c r="V10" s="1680"/>
      <c r="W10" s="1685"/>
      <c r="X10" s="2225"/>
      <c r="Y10" s="2017"/>
      <c r="Z10" s="2225"/>
      <c r="AA10" s="2017"/>
      <c r="AB10" s="2017"/>
      <c r="AC10" s="2268"/>
      <c r="AD10" s="2267"/>
      <c r="AE10" s="2276"/>
      <c r="AF10" s="2017"/>
      <c r="AG10" s="212"/>
      <c r="AH10" s="350"/>
      <c r="AI10" s="350" t="s">
        <v>1541</v>
      </c>
      <c r="AJ10" s="1680"/>
      <c r="AK10" s="1680"/>
      <c r="AL10" s="1680"/>
      <c r="AM10" s="1680"/>
      <c r="AN10" s="1680"/>
      <c r="AO10" s="1686"/>
      <c r="AP10" s="1680"/>
      <c r="AQ10" s="1680"/>
      <c r="AR10" s="1680"/>
      <c r="AS10" s="1680"/>
      <c r="AT10" s="1687"/>
      <c r="AU10" s="2244"/>
      <c r="AW10" s="428"/>
      <c r="AX10" s="428"/>
      <c r="AY10" s="428"/>
      <c r="AZ10" s="428"/>
    </row>
    <row r="11" spans="1:52" ht="11.25" hidden="1" customHeight="1">
      <c r="A11" s="1242"/>
      <c r="B11" s="1242"/>
      <c r="C11" s="1242"/>
      <c r="D11" s="1242"/>
      <c r="E11" s="2222"/>
      <c r="F11" s="2222"/>
      <c r="G11" s="2222"/>
      <c r="H11" s="2222"/>
      <c r="I11" s="2224"/>
      <c r="J11" s="2224"/>
      <c r="K11" s="2223"/>
      <c r="L11" s="1243"/>
      <c r="P11" s="2143"/>
      <c r="Q11" s="2143"/>
      <c r="R11" s="2275"/>
      <c r="S11" s="2274"/>
      <c r="T11" s="2271"/>
      <c r="U11" s="218"/>
      <c r="V11" s="1680"/>
      <c r="W11" s="1688" t="str">
        <f>X8&amp;"-"&amp;Z8</f>
        <v>-</v>
      </c>
      <c r="X11" s="2226"/>
      <c r="Y11" s="2017"/>
      <c r="Z11" s="2226"/>
      <c r="AA11" s="2017"/>
      <c r="AB11" s="2017"/>
      <c r="AC11" s="232"/>
      <c r="AD11" s="234"/>
      <c r="AE11" s="350" t="s">
        <v>1542</v>
      </c>
      <c r="AF11" s="1680"/>
      <c r="AG11" s="1680"/>
      <c r="AH11" s="1680"/>
      <c r="AI11" s="1680"/>
      <c r="AJ11" s="1680"/>
      <c r="AK11" s="1680"/>
      <c r="AL11" s="1680"/>
      <c r="AM11" s="1680"/>
      <c r="AN11" s="1680"/>
      <c r="AO11" s="1681" t="str">
        <f>AP8&amp;"-"&amp;AR8</f>
        <v>-</v>
      </c>
      <c r="AP11" s="1680"/>
      <c r="AQ11" s="1680"/>
      <c r="AR11" s="1680"/>
      <c r="AS11" s="1680"/>
      <c r="AT11" s="1673"/>
      <c r="AU11" s="2244"/>
      <c r="AW11" s="428"/>
      <c r="AX11" s="428" t="str">
        <f t="shared" ref="AX11:AX17" si="1">IF(T11="","",T11)</f>
        <v/>
      </c>
      <c r="AY11" s="428"/>
      <c r="AZ11" s="428"/>
    </row>
    <row r="12" spans="1:52" ht="11.25" hidden="1" customHeight="1">
      <c r="A12" s="1242"/>
      <c r="B12" s="1242"/>
      <c r="C12" s="1242"/>
      <c r="D12" s="1242"/>
      <c r="E12" s="2222"/>
      <c r="F12" s="2222"/>
      <c r="G12" s="2222"/>
      <c r="H12" s="2222"/>
      <c r="I12" s="2224"/>
      <c r="J12" s="2223"/>
      <c r="K12" s="1242"/>
      <c r="L12" s="1243"/>
      <c r="P12" s="2143"/>
      <c r="Q12" s="2143"/>
      <c r="R12" s="280"/>
      <c r="S12" s="1159"/>
      <c r="T12" s="205" t="s">
        <v>1543</v>
      </c>
      <c r="U12" s="294"/>
      <c r="V12" s="294"/>
      <c r="W12" s="294"/>
      <c r="X12" s="294"/>
      <c r="Y12" s="294"/>
      <c r="Z12" s="294"/>
      <c r="AA12" s="294"/>
      <c r="AB12" s="294"/>
      <c r="AC12" s="294"/>
      <c r="AD12" s="294"/>
      <c r="AE12" s="294"/>
      <c r="AF12" s="294"/>
      <c r="AG12" s="294"/>
      <c r="AH12" s="294"/>
      <c r="AI12" s="294"/>
      <c r="AJ12" s="294"/>
      <c r="AK12" s="294"/>
      <c r="AL12" s="294"/>
      <c r="AM12" s="294"/>
      <c r="AN12" s="294"/>
      <c r="AO12" s="294"/>
      <c r="AP12" s="294"/>
      <c r="AQ12" s="294"/>
      <c r="AR12" s="294"/>
      <c r="AS12" s="294"/>
      <c r="AT12" s="251"/>
      <c r="AU12" s="2245"/>
      <c r="AW12" s="428"/>
      <c r="AX12" s="428" t="str">
        <f t="shared" si="1"/>
        <v>Добавить строку</v>
      </c>
      <c r="AY12" s="428"/>
      <c r="AZ12" s="428"/>
    </row>
    <row r="13" spans="1:52" s="1755" customFormat="1" ht="14.25" hidden="1" customHeight="1">
      <c r="A13" s="1226"/>
      <c r="B13" s="1226"/>
      <c r="C13" s="1226"/>
      <c r="D13" s="1226"/>
      <c r="E13" s="2222"/>
      <c r="F13" s="2222"/>
      <c r="G13" s="2222"/>
      <c r="H13" s="2222"/>
      <c r="I13" s="2223"/>
      <c r="J13" s="1226"/>
      <c r="K13" s="1226"/>
      <c r="L13" s="1229"/>
      <c r="M13" s="438"/>
      <c r="N13" s="438"/>
      <c r="O13" s="438"/>
      <c r="P13" s="2143"/>
      <c r="Q13" s="1214"/>
      <c r="R13" s="280"/>
      <c r="S13" s="1264"/>
      <c r="T13" s="1265"/>
      <c r="U13" s="1266"/>
      <c r="V13" s="1266"/>
      <c r="W13" s="1266"/>
      <c r="X13" s="1266"/>
      <c r="Y13" s="1266"/>
      <c r="Z13" s="1266"/>
      <c r="AA13" s="1266"/>
      <c r="AB13" s="1266"/>
      <c r="AC13" s="1266"/>
      <c r="AD13" s="1266"/>
      <c r="AE13" s="1266"/>
      <c r="AF13" s="1266"/>
      <c r="AG13" s="1266"/>
      <c r="AH13" s="1266"/>
      <c r="AI13" s="1266"/>
      <c r="AJ13" s="1266"/>
      <c r="AK13" s="1266"/>
      <c r="AL13" s="1266"/>
      <c r="AM13" s="1266"/>
      <c r="AN13" s="1266"/>
      <c r="AO13" s="1266"/>
      <c r="AP13" s="1266"/>
      <c r="AQ13" s="1266"/>
      <c r="AR13" s="1266"/>
      <c r="AS13" s="1266"/>
      <c r="AT13" s="1266"/>
      <c r="AU13" s="1267"/>
      <c r="AW13" s="428"/>
      <c r="AX13" s="428" t="str">
        <f t="shared" si="1"/>
        <v/>
      </c>
      <c r="AY13" s="428"/>
      <c r="AZ13" s="428"/>
    </row>
    <row r="14" spans="1:52" s="1755" customFormat="1" ht="14.25" hidden="1" customHeight="1">
      <c r="A14" s="1226"/>
      <c r="B14" s="1226"/>
      <c r="C14" s="1226"/>
      <c r="D14" s="1226"/>
      <c r="E14" s="2222"/>
      <c r="F14" s="2222"/>
      <c r="G14" s="2222"/>
      <c r="H14" s="2221"/>
      <c r="I14" s="1226"/>
      <c r="J14" s="1226"/>
      <c r="K14" s="1226"/>
      <c r="L14" s="1229"/>
      <c r="M14" s="1199"/>
      <c r="N14" s="1199"/>
      <c r="O14" s="446"/>
      <c r="P14" s="311"/>
      <c r="Q14" s="1227"/>
      <c r="R14" s="1273"/>
      <c r="S14" s="1264"/>
      <c r="T14" s="1265"/>
      <c r="U14" s="1266"/>
      <c r="V14" s="1266"/>
      <c r="W14" s="1266"/>
      <c r="X14" s="1266"/>
      <c r="Y14" s="1266"/>
      <c r="Z14" s="1266"/>
      <c r="AA14" s="1266"/>
      <c r="AB14" s="1266"/>
      <c r="AC14" s="1266"/>
      <c r="AD14" s="1266"/>
      <c r="AE14" s="1266"/>
      <c r="AF14" s="1266"/>
      <c r="AG14" s="1266"/>
      <c r="AH14" s="1266"/>
      <c r="AI14" s="1266"/>
      <c r="AJ14" s="1266"/>
      <c r="AK14" s="1266"/>
      <c r="AL14" s="1266"/>
      <c r="AM14" s="1266"/>
      <c r="AN14" s="1266"/>
      <c r="AO14" s="1266"/>
      <c r="AP14" s="1266"/>
      <c r="AQ14" s="1266"/>
      <c r="AR14" s="1266"/>
      <c r="AS14" s="1266"/>
      <c r="AT14" s="1266"/>
      <c r="AU14" s="1267"/>
      <c r="AW14" s="428"/>
      <c r="AX14" s="428" t="str">
        <f t="shared" si="1"/>
        <v/>
      </c>
      <c r="AY14" s="428"/>
      <c r="AZ14" s="428"/>
    </row>
    <row r="15" spans="1:52" s="1755" customFormat="1" ht="14.25" hidden="1" customHeight="1">
      <c r="A15" s="1226"/>
      <c r="B15" s="1226"/>
      <c r="C15" s="1226"/>
      <c r="D15" s="1198"/>
      <c r="E15" s="2222"/>
      <c r="F15" s="2222"/>
      <c r="G15" s="2221"/>
      <c r="H15" s="1198"/>
      <c r="I15" s="1198"/>
      <c r="J15" s="1198"/>
      <c r="K15" s="1198"/>
      <c r="L15" s="1222"/>
      <c r="M15" s="1199"/>
      <c r="N15" s="1199"/>
      <c r="P15" s="1200"/>
      <c r="Q15" s="1201"/>
      <c r="R15" s="1200"/>
      <c r="S15" s="1206"/>
      <c r="T15" s="1209" t="s">
        <v>1438</v>
      </c>
      <c r="U15" s="1208"/>
      <c r="V15" s="1208"/>
      <c r="W15" s="1208"/>
      <c r="X15" s="1208"/>
      <c r="Y15" s="1208"/>
      <c r="Z15" s="1208"/>
      <c r="AA15" s="1208"/>
      <c r="AB15" s="1208"/>
      <c r="AC15" s="1208"/>
      <c r="AD15" s="1208"/>
      <c r="AE15" s="1208"/>
      <c r="AF15" s="1208"/>
      <c r="AG15" s="1208"/>
      <c r="AH15" s="1208"/>
      <c r="AI15" s="1208"/>
      <c r="AJ15" s="1208"/>
      <c r="AK15" s="1208"/>
      <c r="AL15" s="1208"/>
      <c r="AM15" s="1208"/>
      <c r="AN15" s="1208"/>
      <c r="AO15" s="1208"/>
      <c r="AP15" s="1208"/>
      <c r="AQ15" s="1208"/>
      <c r="AR15" s="1208"/>
      <c r="AS15" s="1208"/>
      <c r="AT15" s="1208"/>
      <c r="AU15" s="1208"/>
      <c r="AW15" s="695"/>
      <c r="AX15" s="695" t="str">
        <f t="shared" si="1"/>
        <v>Добавить источник для дифференциации</v>
      </c>
      <c r="AY15" s="695"/>
      <c r="AZ15" s="695"/>
    </row>
    <row r="16" spans="1:52" s="1755" customFormat="1" ht="14.25" hidden="1" customHeight="1">
      <c r="A16" s="1226"/>
      <c r="B16" s="1226"/>
      <c r="C16" s="1198"/>
      <c r="D16" s="1198"/>
      <c r="E16" s="2222"/>
      <c r="F16" s="2221"/>
      <c r="G16" s="1198"/>
      <c r="H16" s="1198"/>
      <c r="I16" s="1198"/>
      <c r="J16" s="1198"/>
      <c r="K16" s="1198"/>
      <c r="L16" s="1222"/>
      <c r="M16" s="1205"/>
      <c r="N16" s="1205"/>
      <c r="P16" s="1200"/>
      <c r="Q16" s="1201"/>
      <c r="R16" s="1200"/>
      <c r="S16" s="1206"/>
      <c r="T16" s="1209" t="s">
        <v>1439</v>
      </c>
      <c r="U16" s="1208"/>
      <c r="V16" s="1208"/>
      <c r="W16" s="1208"/>
      <c r="X16" s="1208"/>
      <c r="Y16" s="1208"/>
      <c r="Z16" s="1208"/>
      <c r="AA16" s="1208"/>
      <c r="AB16" s="1208"/>
      <c r="AC16" s="1208"/>
      <c r="AD16" s="1208"/>
      <c r="AE16" s="1208"/>
      <c r="AF16" s="1208"/>
      <c r="AG16" s="1208"/>
      <c r="AH16" s="1208"/>
      <c r="AI16" s="1208"/>
      <c r="AJ16" s="1208"/>
      <c r="AK16" s="1208"/>
      <c r="AL16" s="1208"/>
      <c r="AM16" s="1208"/>
      <c r="AN16" s="1208"/>
      <c r="AO16" s="1208"/>
      <c r="AP16" s="1208"/>
      <c r="AQ16" s="1208"/>
      <c r="AR16" s="1208"/>
      <c r="AS16" s="1208"/>
      <c r="AT16" s="1208"/>
      <c r="AU16" s="1208"/>
      <c r="AW16" s="695"/>
      <c r="AX16" s="695" t="str">
        <f t="shared" si="1"/>
        <v>Добавить централизованную систему для дифференциации</v>
      </c>
      <c r="AY16" s="695"/>
      <c r="AZ16" s="695"/>
    </row>
    <row r="17" spans="1:52" s="1755" customFormat="1" ht="14.25" hidden="1" customHeight="1">
      <c r="A17" s="1226"/>
      <c r="B17" s="1226"/>
      <c r="C17" s="1226"/>
      <c r="D17" s="1226"/>
      <c r="E17" s="2221"/>
      <c r="F17" s="1226"/>
      <c r="G17" s="1226"/>
      <c r="H17" s="1226"/>
      <c r="I17" s="1226"/>
      <c r="J17" s="1226"/>
      <c r="K17" s="1226"/>
      <c r="L17" s="1229"/>
      <c r="M17" s="1205"/>
      <c r="N17" s="1205"/>
      <c r="O17" s="446"/>
      <c r="P17" s="311"/>
      <c r="Q17" s="1227"/>
      <c r="R17" s="311"/>
      <c r="S17" s="1206"/>
      <c r="T17" s="1209" t="s">
        <v>1440</v>
      </c>
      <c r="U17" s="1208"/>
      <c r="V17" s="1208"/>
      <c r="W17" s="1208"/>
      <c r="X17" s="1208"/>
      <c r="Y17" s="1208"/>
      <c r="Z17" s="1208"/>
      <c r="AA17" s="1208"/>
      <c r="AB17" s="1208"/>
      <c r="AC17" s="1208"/>
      <c r="AD17" s="1208"/>
      <c r="AE17" s="1208"/>
      <c r="AF17" s="1208"/>
      <c r="AG17" s="1208"/>
      <c r="AH17" s="1208"/>
      <c r="AI17" s="1208"/>
      <c r="AJ17" s="1208"/>
      <c r="AK17" s="1208"/>
      <c r="AL17" s="1208"/>
      <c r="AM17" s="1208"/>
      <c r="AN17" s="1208"/>
      <c r="AO17" s="1208"/>
      <c r="AP17" s="1208"/>
      <c r="AQ17" s="1208"/>
      <c r="AR17" s="1208"/>
      <c r="AS17" s="1208"/>
      <c r="AT17" s="1208"/>
      <c r="AU17" s="1208"/>
      <c r="AW17" s="428"/>
      <c r="AX17" s="428" t="str">
        <f t="shared" si="1"/>
        <v>Добавить территорию для дифференциации</v>
      </c>
      <c r="AY17" s="428"/>
      <c r="AZ17" s="428"/>
    </row>
    <row r="18" spans="1:52" ht="14.25" hidden="1" customHeight="1">
      <c r="AA18" s="254"/>
      <c r="AS18" s="254"/>
    </row>
    <row r="19" spans="1:52" ht="14.25" hidden="1" customHeight="1">
      <c r="AB19" s="1208" t="s">
        <v>55</v>
      </c>
      <c r="AC19" s="1360"/>
      <c r="AD19" s="475">
        <v>1</v>
      </c>
      <c r="AE19" s="1361"/>
      <c r="AF19" s="1208" t="s">
        <v>55</v>
      </c>
      <c r="AG19" s="1360"/>
      <c r="AH19" s="475">
        <v>1</v>
      </c>
      <c r="AI19" s="1361"/>
      <c r="AJ19" s="1208" t="s">
        <v>55</v>
      </c>
      <c r="AK19" s="1362"/>
      <c r="AL19" s="475">
        <v>1</v>
      </c>
      <c r="AM19" s="1365"/>
      <c r="AN19" s="1689"/>
      <c r="AO19" s="1690"/>
      <c r="AP19" s="1593"/>
      <c r="AQ19" s="1323" t="s">
        <v>62</v>
      </c>
      <c r="AR19" s="1593"/>
      <c r="AS19" s="1323" t="s">
        <v>62</v>
      </c>
    </row>
    <row r="20" spans="1:52" ht="14.25" hidden="1" customHeight="1">
      <c r="AV20" s="424"/>
      <c r="AW20" s="424"/>
      <c r="AX20" s="424"/>
      <c r="AY20" s="424"/>
      <c r="AZ20" s="424"/>
    </row>
    <row r="21" spans="1:52" ht="14.25" hidden="1" customHeight="1">
      <c r="O21" s="1246" t="s">
        <v>1480</v>
      </c>
      <c r="X21" s="1228"/>
      <c r="Z21" s="1228"/>
      <c r="AA21" s="254"/>
      <c r="AP21" s="1228"/>
      <c r="AR21" s="1228"/>
      <c r="AS21" s="254"/>
      <c r="AV21" s="424"/>
      <c r="AW21" s="424"/>
      <c r="AX21" s="424"/>
      <c r="AY21" s="424"/>
      <c r="AZ21" s="424"/>
    </row>
    <row r="22" spans="1:52" ht="14.25" hidden="1" customHeight="1">
      <c r="AA22" s="254"/>
      <c r="AS22" s="254"/>
      <c r="AV22" s="424"/>
      <c r="AW22" s="424"/>
      <c r="AX22" s="424"/>
      <c r="AY22" s="424"/>
      <c r="AZ22" s="424"/>
    </row>
    <row r="23" spans="1:52" s="1691" customFormat="1" ht="14.25" hidden="1" customHeight="1">
      <c r="M23" s="1367"/>
      <c r="N23" s="1367"/>
      <c r="O23" s="1368" t="s">
        <v>1481</v>
      </c>
      <c r="P23" s="1367"/>
      <c r="Q23" s="1369"/>
      <c r="R23" s="1369"/>
      <c r="Y23" s="1366" t="s">
        <v>1483</v>
      </c>
      <c r="AA23" s="1366" t="s">
        <v>1484</v>
      </c>
      <c r="AB23" s="1366" t="s">
        <v>1544</v>
      </c>
      <c r="AE23" s="1366" t="s">
        <v>1545</v>
      </c>
      <c r="AF23" s="1366" t="s">
        <v>1544</v>
      </c>
      <c r="AI23" s="1366" t="s">
        <v>1546</v>
      </c>
      <c r="AJ23" s="1366" t="s">
        <v>1544</v>
      </c>
      <c r="AM23" s="1366" t="s">
        <v>1547</v>
      </c>
      <c r="AQ23" s="1366" t="s">
        <v>1483</v>
      </c>
      <c r="AS23" s="1366" t="s">
        <v>1484</v>
      </c>
      <c r="AV23" s="1370"/>
      <c r="AW23" s="1370"/>
      <c r="AX23" s="1370"/>
      <c r="AY23" s="1370"/>
      <c r="AZ23" s="1370"/>
    </row>
    <row r="24" spans="1:52" ht="14.25" hidden="1" customHeight="1">
      <c r="O24" s="1243"/>
      <c r="AV24" s="424"/>
      <c r="AW24" s="424"/>
      <c r="AX24" s="424"/>
      <c r="AY24" s="424"/>
      <c r="AZ24" s="424"/>
    </row>
    <row r="25" spans="1:52" ht="14.25" hidden="1" customHeight="1">
      <c r="O25" s="1243"/>
      <c r="AV25" s="424"/>
      <c r="AW25" s="424"/>
      <c r="AX25" s="424"/>
      <c r="AY25" s="424"/>
      <c r="AZ25" s="424"/>
    </row>
    <row r="26" spans="1:52" ht="14.25" customHeight="1">
      <c r="Q26" s="209"/>
      <c r="R26" s="304"/>
      <c r="S26" s="1156"/>
      <c r="T26" s="289"/>
      <c r="U26" s="289"/>
      <c r="V26" s="437"/>
      <c r="W26" s="437"/>
      <c r="X26" s="437"/>
      <c r="Y26" s="437"/>
      <c r="Z26" s="437"/>
      <c r="AA26" s="437"/>
      <c r="AB26" s="437"/>
      <c r="AC26" s="437"/>
      <c r="AD26" s="437"/>
      <c r="AE26" s="437"/>
      <c r="AF26" s="437"/>
      <c r="AG26" s="437"/>
      <c r="AH26" s="437"/>
      <c r="AI26" s="437"/>
      <c r="AJ26" s="437"/>
      <c r="AK26" s="437"/>
      <c r="AL26" s="437"/>
      <c r="AM26" s="437"/>
      <c r="AN26" s="437"/>
      <c r="AO26" s="437"/>
      <c r="AP26" s="437"/>
      <c r="AQ26" s="437"/>
      <c r="AR26" s="437"/>
      <c r="AS26" s="437"/>
    </row>
    <row r="27" spans="1:52" ht="33.75" customHeight="1">
      <c r="Q27" s="209"/>
      <c r="R27" s="304"/>
      <c r="S27" s="2065" t="str">
        <f>IF(TEMPLATE_GROUP="P",PT_P_FORM_HEAT_7_NAME_FORM,PT_R_FORM_HEAT_24_NAME_FORM)</f>
        <v xml:space="preserve">Форма 24. Информация о расчетной величине платы за подключение (технологическое присоединение) к системе теплоснабжения, о расчетной величине платы за подключение (технологическое присоединение) к системе теплоснабжения, применяемой в случае, установленном частью 9 статьи 23.4 Федерального закона "О теплоснабжении" </v>
      </c>
      <c r="T27" s="2065"/>
      <c r="U27" s="2065"/>
      <c r="V27" s="2065"/>
      <c r="W27" s="2065"/>
      <c r="X27" s="2065"/>
      <c r="Y27" s="2065"/>
      <c r="Z27" s="2065"/>
      <c r="AA27" s="2065"/>
      <c r="AB27" s="2065"/>
      <c r="AC27" s="2065"/>
      <c r="AD27" s="2065"/>
      <c r="AE27" s="2065"/>
      <c r="AF27" s="2065"/>
      <c r="AG27" s="2065"/>
      <c r="AH27" s="2065"/>
      <c r="AI27" s="2065"/>
      <c r="AJ27" s="2065"/>
      <c r="AK27" s="2065"/>
      <c r="AL27" s="2065"/>
      <c r="AM27" s="2065"/>
      <c r="AN27" s="2065"/>
      <c r="AO27" s="2065"/>
      <c r="AP27" s="2065"/>
      <c r="AQ27" s="2065"/>
      <c r="AR27" s="2065"/>
      <c r="AS27" s="1114"/>
    </row>
    <row r="28" spans="1:52" ht="14.25" customHeight="1">
      <c r="Q28" s="209"/>
      <c r="R28" s="304"/>
      <c r="S28" s="2088" t="str">
        <f>IF(org=0,"Не определено",org)</f>
        <v>МУП г. Астрахани "Коммунэнерго"</v>
      </c>
      <c r="T28" s="2088"/>
      <c r="U28" s="2088"/>
      <c r="V28" s="2088"/>
      <c r="W28" s="2088"/>
      <c r="X28" s="2088"/>
      <c r="Y28" s="2088"/>
      <c r="Z28" s="2088"/>
      <c r="AA28" s="2088"/>
      <c r="AB28" s="2088"/>
      <c r="AC28" s="2088"/>
      <c r="AD28" s="2088"/>
      <c r="AE28" s="2088"/>
      <c r="AF28" s="2088"/>
      <c r="AG28" s="2088"/>
      <c r="AH28" s="2088"/>
      <c r="AI28" s="2088"/>
      <c r="AJ28" s="2088"/>
      <c r="AK28" s="2088"/>
      <c r="AL28" s="2088"/>
      <c r="AM28" s="2088"/>
      <c r="AN28" s="2088"/>
      <c r="AO28" s="2088"/>
      <c r="AP28" s="2088"/>
      <c r="AQ28" s="2088"/>
      <c r="AR28" s="2088"/>
      <c r="AS28" s="1114"/>
    </row>
    <row r="29" spans="1:52" ht="14.25" hidden="1" customHeight="1">
      <c r="Q29" s="209"/>
      <c r="R29" s="304"/>
      <c r="S29" s="1156"/>
      <c r="T29" s="289"/>
      <c r="U29" s="289"/>
      <c r="V29" s="248"/>
      <c r="W29" s="248"/>
      <c r="X29" s="248"/>
      <c r="Y29" s="248"/>
      <c r="Z29" s="248"/>
      <c r="AA29" s="248"/>
      <c r="AB29" s="248"/>
      <c r="AC29" s="248"/>
      <c r="AD29" s="248"/>
      <c r="AE29" s="248"/>
      <c r="AF29" s="248"/>
      <c r="AG29" s="248"/>
      <c r="AH29" s="248"/>
      <c r="AI29" s="248"/>
      <c r="AJ29" s="248"/>
      <c r="AK29" s="248"/>
      <c r="AL29" s="248"/>
      <c r="AM29" s="248"/>
      <c r="AN29" s="248"/>
      <c r="AO29" s="248"/>
      <c r="AP29" s="248"/>
      <c r="AQ29" s="248"/>
      <c r="AR29" s="248"/>
      <c r="AS29" s="248"/>
      <c r="AT29" s="437"/>
    </row>
    <row r="30" spans="1:52" s="1933" customFormat="1" ht="25.5" hidden="1" customHeight="1">
      <c r="A30" s="1247"/>
      <c r="B30" s="1247"/>
      <c r="C30" s="1247"/>
      <c r="D30" s="1247"/>
      <c r="E30" s="1247"/>
      <c r="F30" s="1247"/>
      <c r="G30" s="1247"/>
      <c r="H30" s="1247"/>
      <c r="I30" s="1247"/>
      <c r="J30" s="1247"/>
      <c r="K30" s="1247"/>
      <c r="L30" s="1248"/>
      <c r="M30" s="1247"/>
      <c r="N30" s="1247"/>
      <c r="O30" s="1247"/>
      <c r="P30" s="1247"/>
      <c r="Q30" s="1247"/>
      <c r="S30" s="2213" t="s">
        <v>38</v>
      </c>
      <c r="T30" s="2213"/>
      <c r="U30" s="1251"/>
      <c r="V30" s="2214"/>
      <c r="W30" s="2214"/>
      <c r="X30" s="2214"/>
      <c r="Y30" s="2214"/>
      <c r="Z30" s="2214"/>
      <c r="AA30" s="253"/>
      <c r="AB30" s="2214" t="str">
        <f>IF(TITLE_NAME_OR_PR_CHANGE="",IF(TITLE_NAME_OR_PR="","",TITLE_NAME_OR_PR),TITLE_NAME_OR_PR_CHANGE)</f>
        <v/>
      </c>
      <c r="AC30" s="2214"/>
      <c r="AD30" s="2214"/>
      <c r="AE30" s="2214"/>
      <c r="AF30" s="2214"/>
      <c r="AG30" s="2214"/>
      <c r="AH30" s="2214"/>
      <c r="AI30" s="2214"/>
      <c r="AJ30" s="2214"/>
      <c r="AK30" s="2214"/>
      <c r="AL30" s="2214"/>
      <c r="AM30" s="2214"/>
      <c r="AN30" s="2214"/>
      <c r="AO30" s="2214"/>
      <c r="AP30" s="2214"/>
      <c r="AQ30" s="2214"/>
      <c r="AR30" s="2214"/>
      <c r="AS30" s="253"/>
      <c r="AT30" s="253"/>
      <c r="AU30" s="199"/>
      <c r="AV30" s="295"/>
      <c r="AW30" s="295"/>
      <c r="AX30" s="295"/>
      <c r="AY30" s="295"/>
      <c r="AZ30" s="295"/>
    </row>
    <row r="31" spans="1:52" s="1933" customFormat="1" ht="18.75" hidden="1" customHeight="1">
      <c r="A31" s="1247"/>
      <c r="B31" s="1247"/>
      <c r="C31" s="1247"/>
      <c r="D31" s="1247"/>
      <c r="E31" s="1247"/>
      <c r="F31" s="1247"/>
      <c r="G31" s="1247"/>
      <c r="H31" s="1247"/>
      <c r="I31" s="1247"/>
      <c r="J31" s="1247"/>
      <c r="K31" s="1247"/>
      <c r="L31" s="1248"/>
      <c r="M31" s="1247"/>
      <c r="N31" s="1247"/>
      <c r="O31" s="1247"/>
      <c r="P31" s="1247"/>
      <c r="Q31" s="1247"/>
      <c r="S31" s="2213" t="s">
        <v>1486</v>
      </c>
      <c r="T31" s="2213"/>
      <c r="U31" s="1251"/>
      <c r="V31" s="2214"/>
      <c r="W31" s="2214"/>
      <c r="X31" s="2214"/>
      <c r="Y31" s="2214"/>
      <c r="Z31" s="2214"/>
      <c r="AA31" s="253"/>
      <c r="AB31" s="2214" t="str">
        <f>IF(TITLE_DATE_CHANGE_PERIOD="",IF(TITLE_DATE_PR="","",TITLE_DATE_PR),TITLE_DATE_CHANGE_PERIOD)</f>
        <v/>
      </c>
      <c r="AC31" s="2214"/>
      <c r="AD31" s="2214"/>
      <c r="AE31" s="2214"/>
      <c r="AF31" s="2214"/>
      <c r="AG31" s="2214"/>
      <c r="AH31" s="2214"/>
      <c r="AI31" s="2214"/>
      <c r="AJ31" s="2214"/>
      <c r="AK31" s="2214"/>
      <c r="AL31" s="2214"/>
      <c r="AM31" s="2214"/>
      <c r="AN31" s="2214"/>
      <c r="AO31" s="2214"/>
      <c r="AP31" s="2214"/>
      <c r="AQ31" s="2214"/>
      <c r="AR31" s="2214"/>
      <c r="AS31" s="253"/>
      <c r="AT31" s="253"/>
      <c r="AU31" s="199"/>
      <c r="AV31" s="295"/>
      <c r="AW31" s="295"/>
      <c r="AX31" s="295"/>
      <c r="AY31" s="295"/>
      <c r="AZ31" s="295"/>
    </row>
    <row r="32" spans="1:52" s="1933" customFormat="1" ht="18.75" hidden="1" customHeight="1">
      <c r="A32" s="1247"/>
      <c r="B32" s="1247"/>
      <c r="C32" s="1247"/>
      <c r="D32" s="1247"/>
      <c r="E32" s="1247"/>
      <c r="F32" s="1247"/>
      <c r="G32" s="1247"/>
      <c r="H32" s="1247"/>
      <c r="I32" s="1247"/>
      <c r="J32" s="1247"/>
      <c r="K32" s="1247"/>
      <c r="L32" s="1248"/>
      <c r="M32" s="1247"/>
      <c r="N32" s="1247"/>
      <c r="O32" s="1247"/>
      <c r="P32" s="1247"/>
      <c r="Q32" s="1247"/>
      <c r="S32" s="2213" t="s">
        <v>1487</v>
      </c>
      <c r="T32" s="2213"/>
      <c r="U32" s="1251"/>
      <c r="V32" s="2214"/>
      <c r="W32" s="2214"/>
      <c r="X32" s="2214"/>
      <c r="Y32" s="2214"/>
      <c r="Z32" s="2214"/>
      <c r="AA32" s="253"/>
      <c r="AB32" s="2214" t="str">
        <f>IF(TITLE_NUMBER_PR_CHANGE="",IF(TITLE_NUMBER_PR="","",TITLE_NUMBER_PR),TITLE_NUMBER_PR_CHANGE)</f>
        <v/>
      </c>
      <c r="AC32" s="2214"/>
      <c r="AD32" s="2214"/>
      <c r="AE32" s="2214"/>
      <c r="AF32" s="2214"/>
      <c r="AG32" s="2214"/>
      <c r="AH32" s="2214"/>
      <c r="AI32" s="2214"/>
      <c r="AJ32" s="2214"/>
      <c r="AK32" s="2214"/>
      <c r="AL32" s="2214"/>
      <c r="AM32" s="2214"/>
      <c r="AN32" s="2214"/>
      <c r="AO32" s="2214"/>
      <c r="AP32" s="2214"/>
      <c r="AQ32" s="2214"/>
      <c r="AR32" s="2214"/>
      <c r="AS32" s="253"/>
      <c r="AT32" s="253"/>
      <c r="AU32" s="199"/>
      <c r="AV32" s="295"/>
      <c r="AW32" s="295"/>
      <c r="AX32" s="295"/>
      <c r="AY32" s="295"/>
      <c r="AZ32" s="295"/>
    </row>
    <row r="33" spans="1:52" s="1933" customFormat="1" ht="18.75" hidden="1" customHeight="1">
      <c r="A33" s="1247"/>
      <c r="B33" s="1247"/>
      <c r="C33" s="1247"/>
      <c r="D33" s="1247"/>
      <c r="E33" s="1247"/>
      <c r="F33" s="1247"/>
      <c r="G33" s="1247"/>
      <c r="H33" s="1247"/>
      <c r="I33" s="1247"/>
      <c r="J33" s="1247"/>
      <c r="K33" s="1247"/>
      <c r="L33" s="1248"/>
      <c r="M33" s="1247"/>
      <c r="N33" s="1247"/>
      <c r="O33" s="1247"/>
      <c r="P33" s="1247"/>
      <c r="Q33" s="1247"/>
      <c r="S33" s="2213" t="s">
        <v>39</v>
      </c>
      <c r="T33" s="2213"/>
      <c r="U33" s="1251"/>
      <c r="V33" s="2214"/>
      <c r="W33" s="2214"/>
      <c r="X33" s="2214"/>
      <c r="Y33" s="2214"/>
      <c r="Z33" s="2214"/>
      <c r="AA33" s="253"/>
      <c r="AB33" s="2214" t="str">
        <f>IF(TITLE_IST_PUB_CHANGE="",IF(TITLE_IST_PUB="","",TITLE_IST_PUB),TITLE_IST_PUB_CHANGE)</f>
        <v/>
      </c>
      <c r="AC33" s="2214"/>
      <c r="AD33" s="2214"/>
      <c r="AE33" s="2214"/>
      <c r="AF33" s="2214"/>
      <c r="AG33" s="2214"/>
      <c r="AH33" s="2214"/>
      <c r="AI33" s="2214"/>
      <c r="AJ33" s="2214"/>
      <c r="AK33" s="2214"/>
      <c r="AL33" s="2214"/>
      <c r="AM33" s="2214"/>
      <c r="AN33" s="2214"/>
      <c r="AO33" s="2214"/>
      <c r="AP33" s="2214"/>
      <c r="AQ33" s="2214"/>
      <c r="AR33" s="2214"/>
      <c r="AS33" s="253"/>
      <c r="AT33" s="253"/>
      <c r="AU33" s="199"/>
      <c r="AV33" s="295"/>
      <c r="AW33" s="295"/>
      <c r="AX33" s="295"/>
      <c r="AY33" s="295"/>
      <c r="AZ33" s="295"/>
    </row>
    <row r="34" spans="1:52" ht="14.25" hidden="1" customHeight="1">
      <c r="Q34" s="209"/>
      <c r="R34" s="304"/>
      <c r="S34" s="1156"/>
      <c r="T34" s="289"/>
      <c r="U34" s="289"/>
      <c r="V34" s="248"/>
      <c r="W34" s="248"/>
      <c r="X34" s="248"/>
      <c r="Y34" s="248"/>
      <c r="Z34" s="248"/>
      <c r="AA34" s="248"/>
      <c r="AB34" s="248"/>
      <c r="AC34" s="248"/>
      <c r="AD34" s="248"/>
      <c r="AE34" s="248"/>
      <c r="AF34" s="248"/>
      <c r="AG34" s="248"/>
      <c r="AH34" s="248"/>
      <c r="AI34" s="248"/>
      <c r="AJ34" s="248"/>
      <c r="AK34" s="248"/>
      <c r="AL34" s="248"/>
      <c r="AM34" s="248"/>
      <c r="AN34" s="248"/>
      <c r="AO34" s="248"/>
      <c r="AP34" s="248"/>
      <c r="AQ34" s="248"/>
      <c r="AR34" s="248"/>
      <c r="AS34" s="248"/>
      <c r="AT34" s="437"/>
    </row>
    <row r="35" spans="1:52" s="1933" customFormat="1" ht="18.75" hidden="1" customHeight="1">
      <c r="A35" s="1247"/>
      <c r="B35" s="1247"/>
      <c r="C35" s="1247"/>
      <c r="D35" s="1247"/>
      <c r="E35" s="1247"/>
      <c r="F35" s="1247"/>
      <c r="G35" s="1247"/>
      <c r="H35" s="1247"/>
      <c r="I35" s="1247"/>
      <c r="J35" s="1247"/>
      <c r="K35" s="1247"/>
      <c r="L35" s="1248"/>
      <c r="M35" s="1247"/>
      <c r="N35" s="1247"/>
      <c r="O35" s="1247"/>
      <c r="P35" s="1247"/>
      <c r="Q35" s="1247"/>
      <c r="S35" s="2213" t="s">
        <v>1486</v>
      </c>
      <c r="T35" s="2213"/>
      <c r="U35" s="1251"/>
      <c r="V35" s="2214"/>
      <c r="W35" s="2214"/>
      <c r="X35" s="2214"/>
      <c r="Y35" s="2214"/>
      <c r="Z35" s="2214"/>
      <c r="AA35" s="253"/>
      <c r="AB35" s="2214" t="str">
        <f>IF(TITLE_DATE_CHANGE_PERIOD="",IF(TITLE_DATE_PR="","",TITLE_DATE_PR),TITLE_DATE_CHANGE_PERIOD)</f>
        <v/>
      </c>
      <c r="AC35" s="2214"/>
      <c r="AD35" s="2214"/>
      <c r="AE35" s="2214"/>
      <c r="AF35" s="2214"/>
      <c r="AG35" s="2214"/>
      <c r="AH35" s="2214"/>
      <c r="AI35" s="2214"/>
      <c r="AJ35" s="2214"/>
      <c r="AK35" s="2214"/>
      <c r="AL35" s="2214"/>
      <c r="AM35" s="2214"/>
      <c r="AN35" s="2214"/>
      <c r="AO35" s="2214"/>
      <c r="AP35" s="2214"/>
      <c r="AQ35" s="2214"/>
      <c r="AR35" s="2214"/>
      <c r="AS35" s="253"/>
      <c r="AT35" s="253"/>
      <c r="AU35" s="199"/>
      <c r="AV35" s="295"/>
      <c r="AW35" s="295"/>
      <c r="AX35" s="295"/>
      <c r="AY35" s="295"/>
      <c r="AZ35" s="295"/>
    </row>
    <row r="36" spans="1:52" s="1933" customFormat="1" ht="18" hidden="1" customHeight="1">
      <c r="A36" s="1247"/>
      <c r="B36" s="1247"/>
      <c r="C36" s="1247"/>
      <c r="D36" s="1247"/>
      <c r="E36" s="1247"/>
      <c r="F36" s="1247"/>
      <c r="G36" s="1247"/>
      <c r="H36" s="1247"/>
      <c r="I36" s="1247"/>
      <c r="J36" s="1247"/>
      <c r="K36" s="1247"/>
      <c r="L36" s="1248"/>
      <c r="M36" s="1247"/>
      <c r="N36" s="1247"/>
      <c r="O36" s="1247"/>
      <c r="P36" s="1247"/>
      <c r="Q36" s="1247"/>
      <c r="S36" s="2213" t="s">
        <v>1487</v>
      </c>
      <c r="T36" s="2213"/>
      <c r="U36" s="1251"/>
      <c r="V36" s="2214"/>
      <c r="W36" s="2214"/>
      <c r="X36" s="2214"/>
      <c r="Y36" s="2214"/>
      <c r="Z36" s="2214"/>
      <c r="AA36" s="253"/>
      <c r="AB36" s="2214" t="str">
        <f>IF(TITLE_NUMBER_PR_CHANGE="",IF(TITLE_NUMBER_PR="","",TITLE_NUMBER_PR),TITLE_NUMBER_PR_CHANGE)</f>
        <v/>
      </c>
      <c r="AC36" s="2214"/>
      <c r="AD36" s="2214"/>
      <c r="AE36" s="2214"/>
      <c r="AF36" s="2214"/>
      <c r="AG36" s="2214"/>
      <c r="AH36" s="2214"/>
      <c r="AI36" s="2214"/>
      <c r="AJ36" s="2214"/>
      <c r="AK36" s="2214"/>
      <c r="AL36" s="2214"/>
      <c r="AM36" s="2214"/>
      <c r="AN36" s="2214"/>
      <c r="AO36" s="2214"/>
      <c r="AP36" s="2214"/>
      <c r="AQ36" s="2214"/>
      <c r="AR36" s="2214"/>
      <c r="AS36" s="253"/>
      <c r="AT36" s="253"/>
      <c r="AU36" s="199"/>
      <c r="AV36" s="295"/>
      <c r="AW36" s="295"/>
      <c r="AX36" s="295"/>
      <c r="AY36" s="295"/>
      <c r="AZ36" s="295"/>
    </row>
    <row r="37" spans="1:52" s="1933" customFormat="1" ht="0.75" customHeight="1">
      <c r="A37" s="1247"/>
      <c r="B37" s="1247"/>
      <c r="C37" s="1247"/>
      <c r="D37" s="1247"/>
      <c r="E37" s="1247"/>
      <c r="F37" s="1247"/>
      <c r="G37" s="1247"/>
      <c r="H37" s="1247"/>
      <c r="I37" s="1247"/>
      <c r="J37" s="1247"/>
      <c r="K37" s="1247"/>
      <c r="L37" s="1248"/>
      <c r="M37" s="1247"/>
      <c r="N37" s="1247"/>
      <c r="O37" s="1247"/>
      <c r="P37" s="1247"/>
      <c r="Q37" s="1247"/>
      <c r="S37" s="250"/>
      <c r="T37" s="250"/>
      <c r="U37" s="1223"/>
      <c r="V37" s="253"/>
      <c r="W37" s="253"/>
      <c r="X37" s="253"/>
      <c r="Y37" s="253"/>
      <c r="Z37" s="253"/>
      <c r="AA37" s="197" t="s">
        <v>1490</v>
      </c>
      <c r="AB37" s="253"/>
      <c r="AC37" s="253"/>
      <c r="AD37" s="253"/>
      <c r="AE37" s="253"/>
      <c r="AF37" s="253"/>
      <c r="AG37" s="253"/>
      <c r="AH37" s="253"/>
      <c r="AI37" s="253"/>
      <c r="AJ37" s="253"/>
      <c r="AK37" s="253"/>
      <c r="AL37" s="253"/>
      <c r="AM37" s="253"/>
      <c r="AN37" s="253"/>
      <c r="AO37" s="253"/>
      <c r="AP37" s="253"/>
      <c r="AQ37" s="253"/>
      <c r="AR37" s="253"/>
      <c r="AS37" s="197" t="s">
        <v>1490</v>
      </c>
      <c r="AV37" s="295"/>
      <c r="AW37" s="295"/>
      <c r="AX37" s="295"/>
      <c r="AY37" s="295"/>
      <c r="AZ37" s="295"/>
    </row>
    <row r="38" spans="1:52" ht="14.25" customHeight="1">
      <c r="Q38" s="209"/>
      <c r="R38" s="304"/>
      <c r="S38" s="1156"/>
      <c r="T38" s="289"/>
      <c r="U38" s="1115"/>
      <c r="V38" s="2232"/>
      <c r="W38" s="2232"/>
      <c r="X38" s="2232"/>
      <c r="Y38" s="2232"/>
      <c r="Z38" s="2232"/>
      <c r="AA38" s="2232"/>
      <c r="AB38" s="2232"/>
      <c r="AC38" s="2232"/>
      <c r="AD38" s="2232"/>
      <c r="AE38" s="2232"/>
      <c r="AF38" s="2232"/>
      <c r="AG38" s="2232"/>
      <c r="AH38" s="2232"/>
      <c r="AI38" s="2232"/>
      <c r="AJ38" s="2232"/>
      <c r="AK38" s="2232"/>
      <c r="AL38" s="2232"/>
      <c r="AM38" s="2232"/>
      <c r="AN38" s="2232"/>
      <c r="AO38" s="2232"/>
      <c r="AP38" s="2232"/>
      <c r="AQ38" s="2232"/>
      <c r="AR38" s="2232"/>
      <c r="AS38" s="2232"/>
    </row>
    <row r="39" spans="1:52" ht="14.25" customHeight="1">
      <c r="Q39" s="209"/>
      <c r="R39" s="304"/>
      <c r="S39" s="2007" t="s">
        <v>292</v>
      </c>
      <c r="T39" s="2007"/>
      <c r="U39" s="2007"/>
      <c r="V39" s="2007"/>
      <c r="W39" s="2007"/>
      <c r="X39" s="2007"/>
      <c r="Y39" s="2007"/>
      <c r="Z39" s="2007"/>
      <c r="AA39" s="2007"/>
      <c r="AB39" s="2007"/>
      <c r="AC39" s="2007"/>
      <c r="AD39" s="2007"/>
      <c r="AE39" s="2007"/>
      <c r="AF39" s="2007"/>
      <c r="AG39" s="2007"/>
      <c r="AH39" s="2007"/>
      <c r="AI39" s="2007"/>
      <c r="AJ39" s="2007"/>
      <c r="AK39" s="2007"/>
      <c r="AL39" s="2007"/>
      <c r="AM39" s="2007"/>
      <c r="AN39" s="2007"/>
      <c r="AO39" s="2007"/>
      <c r="AP39" s="2007"/>
      <c r="AQ39" s="2007"/>
      <c r="AR39" s="2007"/>
      <c r="AS39" s="2007"/>
      <c r="AT39" s="2007"/>
      <c r="AU39" s="2007" t="s">
        <v>293</v>
      </c>
    </row>
    <row r="40" spans="1:52" ht="14.25" customHeight="1">
      <c r="Q40" s="209"/>
      <c r="R40" s="304"/>
      <c r="S40" s="2233" t="s">
        <v>87</v>
      </c>
      <c r="T40" s="2097" t="s">
        <v>1491</v>
      </c>
      <c r="U40" s="219"/>
      <c r="V40" s="2235"/>
      <c r="W40" s="2235"/>
      <c r="X40" s="2235"/>
      <c r="Y40" s="2235"/>
      <c r="Z40" s="2236"/>
      <c r="AA40" s="2237" t="s">
        <v>1493</v>
      </c>
      <c r="AB40" s="2259" t="s">
        <v>1548</v>
      </c>
      <c r="AC40" s="2248"/>
      <c r="AD40" s="2248"/>
      <c r="AE40" s="2260"/>
      <c r="AF40" s="2259" t="s">
        <v>1549</v>
      </c>
      <c r="AG40" s="2248"/>
      <c r="AH40" s="2248"/>
      <c r="AI40" s="2260"/>
      <c r="AJ40" s="2259" t="s">
        <v>1550</v>
      </c>
      <c r="AK40" s="2248"/>
      <c r="AL40" s="2248"/>
      <c r="AM40" s="2260"/>
      <c r="AN40" s="2234" t="s">
        <v>1492</v>
      </c>
      <c r="AO40" s="2235"/>
      <c r="AP40" s="2235"/>
      <c r="AQ40" s="2235"/>
      <c r="AR40" s="2236"/>
      <c r="AS40" s="2237" t="s">
        <v>1493</v>
      </c>
      <c r="AT40" s="2240" t="s">
        <v>1495</v>
      </c>
      <c r="AU40" s="2007"/>
    </row>
    <row r="41" spans="1:52" ht="33.75" customHeight="1">
      <c r="Q41" s="209"/>
      <c r="R41" s="304"/>
      <c r="S41" s="2233"/>
      <c r="T41" s="2097"/>
      <c r="U41" s="924"/>
      <c r="V41" s="2067" t="s">
        <v>1551</v>
      </c>
      <c r="W41" s="2068"/>
      <c r="X41" s="2067" t="s">
        <v>1499</v>
      </c>
      <c r="Y41" s="2253"/>
      <c r="Z41" s="2068"/>
      <c r="AA41" s="2238"/>
      <c r="AB41" s="2261"/>
      <c r="AC41" s="2262"/>
      <c r="AD41" s="2262"/>
      <c r="AE41" s="2263"/>
      <c r="AF41" s="2261"/>
      <c r="AG41" s="2262"/>
      <c r="AH41" s="2262"/>
      <c r="AI41" s="2263"/>
      <c r="AJ41" s="2261"/>
      <c r="AK41" s="2262"/>
      <c r="AL41" s="2262"/>
      <c r="AM41" s="2263"/>
      <c r="AN41" s="2067" t="s">
        <v>1551</v>
      </c>
      <c r="AO41" s="2068"/>
      <c r="AP41" s="2067" t="s">
        <v>1499</v>
      </c>
      <c r="AQ41" s="2253"/>
      <c r="AR41" s="2068"/>
      <c r="AS41" s="2238"/>
      <c r="AT41" s="2241"/>
      <c r="AU41" s="2007"/>
    </row>
    <row r="42" spans="1:52" ht="14.25" customHeight="1">
      <c r="Q42" s="209"/>
      <c r="R42" s="304"/>
      <c r="S42" s="2233"/>
      <c r="T42" s="2097"/>
      <c r="U42" s="924"/>
      <c r="V42" s="2072"/>
      <c r="W42" s="2073"/>
      <c r="X42" s="2072"/>
      <c r="Y42" s="2254"/>
      <c r="Z42" s="2073"/>
      <c r="AA42" s="2238"/>
      <c r="AB42" s="2261"/>
      <c r="AC42" s="2262"/>
      <c r="AD42" s="2262"/>
      <c r="AE42" s="2263"/>
      <c r="AF42" s="2261"/>
      <c r="AG42" s="2262"/>
      <c r="AH42" s="2262"/>
      <c r="AI42" s="2263"/>
      <c r="AJ42" s="2261"/>
      <c r="AK42" s="2262"/>
      <c r="AL42" s="2262"/>
      <c r="AM42" s="2263"/>
      <c r="AN42" s="2072"/>
      <c r="AO42" s="2073"/>
      <c r="AP42" s="2072"/>
      <c r="AQ42" s="2254"/>
      <c r="AR42" s="2073"/>
      <c r="AS42" s="2238"/>
      <c r="AT42" s="2241"/>
      <c r="AU42" s="2007"/>
    </row>
    <row r="43" spans="1:52" ht="14.25" customHeight="1">
      <c r="A43" s="1249"/>
      <c r="B43" s="1249" t="s">
        <v>136</v>
      </c>
      <c r="C43" s="1249" t="s">
        <v>137</v>
      </c>
      <c r="D43" s="1249" t="s">
        <v>138</v>
      </c>
      <c r="E43" s="1243" t="s">
        <v>1500</v>
      </c>
      <c r="F43" s="1243" t="s">
        <v>1501</v>
      </c>
      <c r="G43" s="1243" t="s">
        <v>1502</v>
      </c>
      <c r="H43" s="1243" t="s">
        <v>1503</v>
      </c>
      <c r="I43" s="1243" t="s">
        <v>1504</v>
      </c>
      <c r="J43" s="1243" t="s">
        <v>1505</v>
      </c>
      <c r="K43" s="1243" t="s">
        <v>1506</v>
      </c>
      <c r="L43" s="1243" t="s">
        <v>1481</v>
      </c>
      <c r="Q43" s="209"/>
      <c r="R43" s="304"/>
      <c r="S43" s="2233"/>
      <c r="T43" s="2097"/>
      <c r="U43" s="220"/>
      <c r="V43" s="1213" t="s">
        <v>1552</v>
      </c>
      <c r="W43" s="1213" t="s">
        <v>1553</v>
      </c>
      <c r="X43" s="1221" t="s">
        <v>1509</v>
      </c>
      <c r="Y43" s="2103" t="s">
        <v>1510</v>
      </c>
      <c r="Z43" s="2117"/>
      <c r="AA43" s="2239"/>
      <c r="AB43" s="2264"/>
      <c r="AC43" s="2265"/>
      <c r="AD43" s="2265"/>
      <c r="AE43" s="2266"/>
      <c r="AF43" s="2264"/>
      <c r="AG43" s="2265"/>
      <c r="AH43" s="2265"/>
      <c r="AI43" s="2266"/>
      <c r="AJ43" s="2264"/>
      <c r="AK43" s="2265"/>
      <c r="AL43" s="2265"/>
      <c r="AM43" s="2266"/>
      <c r="AN43" s="1213" t="s">
        <v>1552</v>
      </c>
      <c r="AO43" s="1213" t="s">
        <v>1553</v>
      </c>
      <c r="AP43" s="1221" t="s">
        <v>1509</v>
      </c>
      <c r="AQ43" s="2103" t="s">
        <v>1510</v>
      </c>
      <c r="AR43" s="2117"/>
      <c r="AS43" s="2239"/>
      <c r="AT43" s="2242"/>
      <c r="AU43" s="2007"/>
    </row>
    <row r="44" spans="1:52" s="1708" customFormat="1" ht="11.25" hidden="1" customHeight="1">
      <c r="A44" s="1249"/>
      <c r="B44" s="1249"/>
      <c r="C44" s="1249"/>
      <c r="D44" s="1249"/>
      <c r="E44" s="1249"/>
      <c r="F44" s="1249"/>
      <c r="G44" s="1249"/>
      <c r="H44" s="1249"/>
      <c r="I44" s="1249"/>
      <c r="J44" s="1249"/>
      <c r="K44" s="1249"/>
      <c r="L44" s="1243"/>
      <c r="M44" s="1241"/>
      <c r="N44" s="1241"/>
      <c r="O44" s="1241"/>
      <c r="P44" s="438"/>
      <c r="Q44" s="1133"/>
      <c r="R44" s="1133">
        <v>1</v>
      </c>
      <c r="S44" s="1158" t="s">
        <v>108</v>
      </c>
      <c r="T44" s="1134" t="s">
        <v>109</v>
      </c>
      <c r="U44" s="1116" t="str">
        <f ca="1">OFFSET(U44,0,-1)</f>
        <v>2</v>
      </c>
      <c r="V44" s="1218">
        <f ca="1">OFFSET(V44,0,-1)+1</f>
        <v>3</v>
      </c>
      <c r="W44" s="1218">
        <f ca="1">OFFSET(W44,0,-1)+1</f>
        <v>4</v>
      </c>
      <c r="X44" s="1218">
        <f ca="1">OFFSET(X44,0,-1)+1</f>
        <v>5</v>
      </c>
      <c r="Y44" s="2231">
        <f ca="1">OFFSET(Y44,0,-1)+1</f>
        <v>6</v>
      </c>
      <c r="Z44" s="2231"/>
      <c r="AA44" s="1218">
        <f ca="1">OFFSET(AA44,0,-2)+1</f>
        <v>7</v>
      </c>
      <c r="AB44" s="1218">
        <f ca="1">OFFSET(AB44,0,-1)+1</f>
        <v>8</v>
      </c>
      <c r="AC44" s="1218"/>
      <c r="AD44" s="1218"/>
      <c r="AE44" s="1218"/>
      <c r="AF44" s="1218"/>
      <c r="AG44" s="1218"/>
      <c r="AH44" s="1218"/>
      <c r="AI44" s="1218"/>
      <c r="AJ44" s="1218"/>
      <c r="AK44" s="1218"/>
      <c r="AL44" s="1218"/>
      <c r="AM44" s="1218"/>
      <c r="AN44" s="1218">
        <f ca="1">OFFSET(AN44,0,-1)+1</f>
        <v>1</v>
      </c>
      <c r="AO44" s="1218">
        <f ca="1">OFFSET(AO44,0,-1)+1</f>
        <v>2</v>
      </c>
      <c r="AP44" s="1218">
        <f ca="1">OFFSET(AP44,0,-1)+1</f>
        <v>3</v>
      </c>
      <c r="AQ44" s="2231">
        <f ca="1">OFFSET(AQ44,0,-1)+1</f>
        <v>4</v>
      </c>
      <c r="AR44" s="2231"/>
      <c r="AS44" s="1218">
        <f ca="1">OFFSET(AS44,0,-2)+1</f>
        <v>5</v>
      </c>
      <c r="AT44" s="1116">
        <f ca="1">OFFSET(AT44,0,-1)</f>
        <v>5</v>
      </c>
      <c r="AU44" s="1218">
        <f ca="1">OFFSET(AU44,0,-1)+1</f>
        <v>6</v>
      </c>
      <c r="AV44" s="439"/>
      <c r="AW44" s="439"/>
      <c r="AX44" s="439"/>
      <c r="AY44" s="439"/>
      <c r="AZ44" s="439"/>
    </row>
    <row r="45" spans="1:52" ht="21" customHeight="1">
      <c r="A45" s="1242" t="s">
        <v>204</v>
      </c>
      <c r="B45" s="1242"/>
      <c r="C45" s="1242"/>
      <c r="D45" s="1242"/>
      <c r="E45" s="2221">
        <v>1</v>
      </c>
      <c r="F45" s="1242"/>
      <c r="G45" s="1242"/>
      <c r="H45" s="1242"/>
      <c r="I45" s="1242"/>
      <c r="J45" s="1242"/>
      <c r="K45" s="1242"/>
      <c r="L45" s="1243"/>
      <c r="M45" s="1244"/>
      <c r="N45" s="1244"/>
      <c r="O45" s="1244"/>
      <c r="P45" s="1277"/>
      <c r="Q45" s="770"/>
      <c r="R45" s="279"/>
      <c r="S45" s="1219">
        <f>INDEX(PT_DIFFERENTIATION_NUM_NTAR,MATCH(A45,PT_DIFFERENTIATION_NTAR_ID,0))</f>
        <v>0</v>
      </c>
      <c r="T45" s="216" t="s">
        <v>124</v>
      </c>
      <c r="U45" s="218"/>
      <c r="V45" s="2216"/>
      <c r="W45" s="2216"/>
      <c r="X45" s="2216"/>
      <c r="Y45" s="2216"/>
      <c r="Z45" s="2216"/>
      <c r="AA45" s="2217"/>
      <c r="AB45" s="2215" t="str">
        <f>INDEX(PT_DIFFERENTIATION_NTAR,MATCH(A45,PT_DIFFERENTIATION_NTAR_ID,0))</f>
        <v/>
      </c>
      <c r="AC45" s="2216"/>
      <c r="AD45" s="2216"/>
      <c r="AE45" s="2216"/>
      <c r="AF45" s="2216"/>
      <c r="AG45" s="2216"/>
      <c r="AH45" s="2216"/>
      <c r="AI45" s="2216"/>
      <c r="AJ45" s="2216"/>
      <c r="AK45" s="2216"/>
      <c r="AL45" s="2216"/>
      <c r="AM45" s="2216"/>
      <c r="AN45" s="2216"/>
      <c r="AO45" s="2216"/>
      <c r="AP45" s="2216"/>
      <c r="AQ45" s="2216"/>
      <c r="AR45" s="2216"/>
      <c r="AS45" s="2216"/>
      <c r="AT45" s="2217"/>
      <c r="AU45" s="1138" t="s">
        <v>1462</v>
      </c>
      <c r="AW45" s="428"/>
      <c r="AX45" s="428" t="str">
        <f t="shared" ref="AX45:AX51" si="2">IF(T45="","",T45)</f>
        <v>Наименование тарифа</v>
      </c>
      <c r="AY45" s="428"/>
      <c r="AZ45" s="428"/>
    </row>
    <row r="46" spans="1:52" ht="21" customHeight="1">
      <c r="A46" s="1242" t="s">
        <v>204</v>
      </c>
      <c r="B46" s="1242" t="s">
        <v>205</v>
      </c>
      <c r="C46" s="1242"/>
      <c r="D46" s="1242"/>
      <c r="E46" s="2222"/>
      <c r="F46" s="2221">
        <v>1</v>
      </c>
      <c r="G46" s="1242"/>
      <c r="H46" s="1242"/>
      <c r="I46" s="1242"/>
      <c r="J46" s="1242"/>
      <c r="K46" s="1242"/>
      <c r="L46" s="1243"/>
      <c r="M46" s="1244"/>
      <c r="N46" s="1244"/>
      <c r="O46" s="1244"/>
      <c r="P46" s="1278"/>
      <c r="Q46" s="1279"/>
      <c r="R46" s="277"/>
      <c r="S46" s="1219" t="str">
        <f>INDEX(PT_DIFFERENTIATION_NUM_TER,MATCH(B46,PT_DIFFERENTIATION_TER_ID,0))</f>
        <v>.</v>
      </c>
      <c r="T46" s="228" t="s">
        <v>1463</v>
      </c>
      <c r="U46" s="218"/>
      <c r="V46" s="2216"/>
      <c r="W46" s="2216"/>
      <c r="X46" s="2216"/>
      <c r="Y46" s="2216"/>
      <c r="Z46" s="2216"/>
      <c r="AA46" s="2217"/>
      <c r="AB46" s="2215" t="str">
        <f>INDEX(PT_DIFFERENTIATION_TER,MATCH(B46,PT_DIFFERENTIATION_TER_ID,0))</f>
        <v/>
      </c>
      <c r="AC46" s="2216"/>
      <c r="AD46" s="2216"/>
      <c r="AE46" s="2216"/>
      <c r="AF46" s="2216"/>
      <c r="AG46" s="2216"/>
      <c r="AH46" s="2216"/>
      <c r="AI46" s="2216"/>
      <c r="AJ46" s="2216"/>
      <c r="AK46" s="2216"/>
      <c r="AL46" s="2216"/>
      <c r="AM46" s="2216"/>
      <c r="AN46" s="2216"/>
      <c r="AO46" s="2216"/>
      <c r="AP46" s="2216"/>
      <c r="AQ46" s="2216"/>
      <c r="AR46" s="2216"/>
      <c r="AS46" s="2216"/>
      <c r="AT46" s="2217"/>
      <c r="AU46" s="1138" t="s">
        <v>1464</v>
      </c>
      <c r="AW46" s="428"/>
      <c r="AX46" s="428" t="str">
        <f t="shared" si="2"/>
        <v>Территория действия тарифа</v>
      </c>
      <c r="AY46" s="428"/>
      <c r="AZ46" s="428"/>
    </row>
    <row r="47" spans="1:52" ht="23.25" customHeight="1">
      <c r="A47" s="1242" t="s">
        <v>204</v>
      </c>
      <c r="B47" s="1242" t="s">
        <v>205</v>
      </c>
      <c r="C47" s="1242" t="s">
        <v>206</v>
      </c>
      <c r="D47" s="1242"/>
      <c r="E47" s="2222"/>
      <c r="F47" s="2222"/>
      <c r="G47" s="2221">
        <v>1</v>
      </c>
      <c r="H47" s="1242"/>
      <c r="I47" s="1242"/>
      <c r="J47" s="1242"/>
      <c r="K47" s="1242"/>
      <c r="L47" s="1243"/>
      <c r="M47" s="1244"/>
      <c r="N47" s="1244"/>
      <c r="O47" s="1244"/>
      <c r="P47" s="1280"/>
      <c r="Q47" s="1279"/>
      <c r="R47" s="277"/>
      <c r="S47" s="1219" t="str">
        <f>INDEX(PT_DIFFERENTIATION_NUM_CS,MATCH(C47,PT_DIFFERENTIATION_CS_ID,0))</f>
        <v>..</v>
      </c>
      <c r="T47" s="229" t="s">
        <v>1465</v>
      </c>
      <c r="U47" s="218"/>
      <c r="V47" s="2216"/>
      <c r="W47" s="2216"/>
      <c r="X47" s="2216"/>
      <c r="Y47" s="2216"/>
      <c r="Z47" s="2216"/>
      <c r="AA47" s="2217"/>
      <c r="AB47" s="2215" t="str">
        <f>INDEX(PT_DIFFERENTIATION_CS,MATCH(C47,PT_DIFFERENTIATION_CS_ID,0))</f>
        <v/>
      </c>
      <c r="AC47" s="2216"/>
      <c r="AD47" s="2216"/>
      <c r="AE47" s="2216"/>
      <c r="AF47" s="2216"/>
      <c r="AG47" s="2216"/>
      <c r="AH47" s="2216"/>
      <c r="AI47" s="2216"/>
      <c r="AJ47" s="2216"/>
      <c r="AK47" s="2216"/>
      <c r="AL47" s="2216"/>
      <c r="AM47" s="2216"/>
      <c r="AN47" s="2216"/>
      <c r="AO47" s="2216"/>
      <c r="AP47" s="2216"/>
      <c r="AQ47" s="2216"/>
      <c r="AR47" s="2216"/>
      <c r="AS47" s="2216"/>
      <c r="AT47" s="2217"/>
      <c r="AU47" s="1138" t="s">
        <v>1466</v>
      </c>
      <c r="AW47" s="428"/>
      <c r="AX47" s="428" t="str">
        <f t="shared" si="2"/>
        <v xml:space="preserve">Наименование системы теплоснабжения </v>
      </c>
      <c r="AY47" s="428"/>
      <c r="AZ47" s="428"/>
    </row>
    <row r="48" spans="1:52" ht="21" customHeight="1">
      <c r="A48" s="1242" t="s">
        <v>204</v>
      </c>
      <c r="B48" s="1242" t="s">
        <v>205</v>
      </c>
      <c r="C48" s="1242" t="s">
        <v>206</v>
      </c>
      <c r="D48" s="1242" t="s">
        <v>207</v>
      </c>
      <c r="E48" s="2222"/>
      <c r="F48" s="2222"/>
      <c r="G48" s="2222"/>
      <c r="H48" s="2221">
        <v>1</v>
      </c>
      <c r="I48" s="1242"/>
      <c r="J48" s="1242"/>
      <c r="K48" s="1242"/>
      <c r="L48" s="1243"/>
      <c r="M48" s="1244"/>
      <c r="N48" s="1244"/>
      <c r="O48" s="1244"/>
      <c r="P48" s="1280"/>
      <c r="Q48" s="1279"/>
      <c r="R48" s="277"/>
      <c r="S48" s="1219" t="str">
        <f>INDEX(PT_DIFFERENTIATION_NUM_IST_TE,MATCH(D48,PT_DIFFERENTIATION_IST_TE_ID,0))</f>
        <v>...</v>
      </c>
      <c r="T48" s="230" t="s">
        <v>1467</v>
      </c>
      <c r="U48" s="218"/>
      <c r="V48" s="2216"/>
      <c r="W48" s="2216"/>
      <c r="X48" s="2216"/>
      <c r="Y48" s="2216"/>
      <c r="Z48" s="2216"/>
      <c r="AA48" s="2217"/>
      <c r="AB48" s="2215" t="str">
        <f>INDEX(PT_DIFFERENTIATION_IST_TE,MATCH(D48,PT_DIFFERENTIATION_IST_TE_ID,0))</f>
        <v/>
      </c>
      <c r="AC48" s="2216"/>
      <c r="AD48" s="2216"/>
      <c r="AE48" s="2216"/>
      <c r="AF48" s="2216"/>
      <c r="AG48" s="2216"/>
      <c r="AH48" s="2216"/>
      <c r="AI48" s="2216"/>
      <c r="AJ48" s="2216"/>
      <c r="AK48" s="2216"/>
      <c r="AL48" s="2216"/>
      <c r="AM48" s="2216"/>
      <c r="AN48" s="2216"/>
      <c r="AO48" s="2216"/>
      <c r="AP48" s="2216"/>
      <c r="AQ48" s="2216"/>
      <c r="AR48" s="2216"/>
      <c r="AS48" s="2216"/>
      <c r="AT48" s="2217"/>
      <c r="AU48" s="1138" t="s">
        <v>1468</v>
      </c>
      <c r="AW48" s="428"/>
      <c r="AX48" s="428" t="str">
        <f t="shared" si="2"/>
        <v xml:space="preserve">Источник тепловой энергии  </v>
      </c>
      <c r="AY48" s="428"/>
      <c r="AZ48" s="428"/>
    </row>
    <row r="49" spans="1:52" s="1755" customFormat="1" ht="0" hidden="1" customHeight="1">
      <c r="A49" s="1226" t="s">
        <v>204</v>
      </c>
      <c r="B49" s="1226" t="s">
        <v>205</v>
      </c>
      <c r="C49" s="1226" t="s">
        <v>206</v>
      </c>
      <c r="D49" s="1226" t="s">
        <v>207</v>
      </c>
      <c r="E49" s="2222"/>
      <c r="F49" s="2222"/>
      <c r="G49" s="2222"/>
      <c r="H49" s="2222"/>
      <c r="I49" s="2223" t="str">
        <f>S48&amp;".1"</f>
        <v>....1</v>
      </c>
      <c r="J49" s="1226"/>
      <c r="K49" s="1226"/>
      <c r="L49" s="1229" t="s">
        <v>1469</v>
      </c>
      <c r="M49" s="438"/>
      <c r="N49" s="438"/>
      <c r="O49" s="438"/>
      <c r="P49" s="2143">
        <v>1</v>
      </c>
      <c r="Q49" s="1214"/>
      <c r="R49" s="280"/>
      <c r="S49" s="932"/>
      <c r="T49" s="1261"/>
      <c r="U49" s="1262"/>
      <c r="V49" s="2250"/>
      <c r="W49" s="2250"/>
      <c r="X49" s="2250"/>
      <c r="Y49" s="2250"/>
      <c r="Z49" s="2250"/>
      <c r="AA49" s="2251"/>
      <c r="AB49" s="2249"/>
      <c r="AC49" s="2250"/>
      <c r="AD49" s="2250"/>
      <c r="AE49" s="2250"/>
      <c r="AF49" s="2250"/>
      <c r="AG49" s="2250"/>
      <c r="AH49" s="2250"/>
      <c r="AI49" s="2250"/>
      <c r="AJ49" s="2250"/>
      <c r="AK49" s="2250"/>
      <c r="AL49" s="2250"/>
      <c r="AM49" s="2250"/>
      <c r="AN49" s="2250"/>
      <c r="AO49" s="2250"/>
      <c r="AP49" s="2250"/>
      <c r="AQ49" s="2250"/>
      <c r="AR49" s="2250"/>
      <c r="AS49" s="2250"/>
      <c r="AT49" s="2251"/>
      <c r="AU49" s="1263"/>
      <c r="AW49" s="428"/>
      <c r="AX49" s="428" t="str">
        <f t="shared" si="2"/>
        <v/>
      </c>
      <c r="AY49" s="428"/>
      <c r="AZ49" s="428"/>
    </row>
    <row r="50" spans="1:52" s="1755" customFormat="1" ht="0" hidden="1" customHeight="1">
      <c r="A50" s="1226" t="s">
        <v>204</v>
      </c>
      <c r="B50" s="1226" t="s">
        <v>205</v>
      </c>
      <c r="C50" s="1226" t="s">
        <v>206</v>
      </c>
      <c r="D50" s="1226" t="s">
        <v>207</v>
      </c>
      <c r="E50" s="2222"/>
      <c r="F50" s="2222"/>
      <c r="G50" s="2222"/>
      <c r="H50" s="2222"/>
      <c r="I50" s="2224"/>
      <c r="J50" s="2223" t="str">
        <f>S48&amp;".1"</f>
        <v>....1</v>
      </c>
      <c r="K50" s="1226"/>
      <c r="L50" s="1229"/>
      <c r="M50" s="438"/>
      <c r="N50" s="438"/>
      <c r="O50" s="438"/>
      <c r="P50" s="2143"/>
      <c r="Q50" s="2143">
        <v>1</v>
      </c>
      <c r="R50" s="281"/>
      <c r="S50" s="932"/>
      <c r="T50" s="1271"/>
      <c r="U50" s="1262"/>
      <c r="V50" s="2250"/>
      <c r="W50" s="2250"/>
      <c r="X50" s="2250"/>
      <c r="Y50" s="2250"/>
      <c r="Z50" s="2250"/>
      <c r="AA50" s="2251"/>
      <c r="AB50" s="2249"/>
      <c r="AC50" s="2250"/>
      <c r="AD50" s="2250"/>
      <c r="AE50" s="2250"/>
      <c r="AF50" s="2250"/>
      <c r="AG50" s="2250"/>
      <c r="AH50" s="2250"/>
      <c r="AI50" s="2250"/>
      <c r="AJ50" s="2250"/>
      <c r="AK50" s="2250"/>
      <c r="AL50" s="2250"/>
      <c r="AM50" s="2250"/>
      <c r="AN50" s="2250"/>
      <c r="AO50" s="2250"/>
      <c r="AP50" s="2250"/>
      <c r="AQ50" s="2250"/>
      <c r="AR50" s="2250"/>
      <c r="AS50" s="2250"/>
      <c r="AT50" s="2251"/>
      <c r="AU50" s="1263"/>
      <c r="AW50" s="428"/>
      <c r="AX50" s="428" t="str">
        <f t="shared" si="2"/>
        <v/>
      </c>
      <c r="AY50" s="428"/>
      <c r="AZ50" s="428"/>
    </row>
    <row r="51" spans="1:52" ht="21" customHeight="1">
      <c r="A51" s="1242" t="s">
        <v>204</v>
      </c>
      <c r="B51" s="1242" t="s">
        <v>205</v>
      </c>
      <c r="C51" s="1242" t="s">
        <v>206</v>
      </c>
      <c r="D51" s="1242" t="s">
        <v>207</v>
      </c>
      <c r="E51" s="2222"/>
      <c r="F51" s="2222"/>
      <c r="G51" s="2222"/>
      <c r="H51" s="2222"/>
      <c r="I51" s="2224"/>
      <c r="J51" s="2224"/>
      <c r="K51" s="2223" t="str">
        <f>S48&amp;".1"</f>
        <v>....1</v>
      </c>
      <c r="L51" s="1243"/>
      <c r="P51" s="2143"/>
      <c r="Q51" s="2143"/>
      <c r="R51" s="281">
        <v>1</v>
      </c>
      <c r="S51" s="2272" t="str">
        <f>$K51</f>
        <v>....1</v>
      </c>
      <c r="T51" s="2269"/>
      <c r="U51" s="218"/>
      <c r="V51" s="1664"/>
      <c r="W51" s="1666"/>
      <c r="X51" s="1591"/>
      <c r="Y51" s="1322" t="s">
        <v>62</v>
      </c>
      <c r="Z51" s="1591"/>
      <c r="AA51" s="1322" t="s">
        <v>62</v>
      </c>
      <c r="AB51" s="2017" t="s">
        <v>55</v>
      </c>
      <c r="AC51" s="2268"/>
      <c r="AD51" s="2267">
        <v>1</v>
      </c>
      <c r="AE51" s="2258" t="s">
        <v>17</v>
      </c>
      <c r="AF51" s="2017" t="s">
        <v>55</v>
      </c>
      <c r="AG51" s="2268"/>
      <c r="AH51" s="2267">
        <v>1</v>
      </c>
      <c r="AI51" s="2258" t="s">
        <v>17</v>
      </c>
      <c r="AJ51" s="2017" t="s">
        <v>55</v>
      </c>
      <c r="AK51" s="231"/>
      <c r="AL51" s="1220">
        <v>1</v>
      </c>
      <c r="AM51" s="1274"/>
      <c r="AN51" s="1664"/>
      <c r="AO51" s="1666"/>
      <c r="AP51" s="1591"/>
      <c r="AQ51" s="1322" t="s">
        <v>62</v>
      </c>
      <c r="AR51" s="1591"/>
      <c r="AS51" s="1322" t="s">
        <v>62</v>
      </c>
      <c r="AT51" s="1672"/>
      <c r="AU51" s="2243" t="s">
        <v>1539</v>
      </c>
      <c r="AV51" s="439" t="e">
        <f ca="1">STRCHECKDATE(V54:AT54)</f>
        <v>#NAME?</v>
      </c>
      <c r="AW51" s="428"/>
      <c r="AX51" s="428" t="str">
        <f t="shared" si="2"/>
        <v/>
      </c>
      <c r="AY51" s="428"/>
      <c r="AZ51" s="428"/>
    </row>
    <row r="52" spans="1:52" ht="11.25" customHeight="1">
      <c r="A52" s="1242" t="s">
        <v>204</v>
      </c>
      <c r="B52" s="1242"/>
      <c r="C52" s="1242"/>
      <c r="D52" s="1242"/>
      <c r="E52" s="2222"/>
      <c r="F52" s="2222"/>
      <c r="G52" s="2222"/>
      <c r="H52" s="2222"/>
      <c r="I52" s="2224"/>
      <c r="J52" s="2224"/>
      <c r="K52" s="2223"/>
      <c r="L52" s="1243"/>
      <c r="P52" s="2143"/>
      <c r="Q52" s="2143"/>
      <c r="R52" s="281"/>
      <c r="S52" s="2273"/>
      <c r="T52" s="2270"/>
      <c r="U52" s="218"/>
      <c r="V52" s="1680"/>
      <c r="W52" s="1686"/>
      <c r="X52" s="1680"/>
      <c r="Y52" s="1680"/>
      <c r="Z52" s="1680"/>
      <c r="AA52" s="1680"/>
      <c r="AB52" s="2017"/>
      <c r="AC52" s="2268"/>
      <c r="AD52" s="2267"/>
      <c r="AE52" s="2258"/>
      <c r="AF52" s="2017"/>
      <c r="AG52" s="2268"/>
      <c r="AH52" s="2267"/>
      <c r="AI52" s="2258"/>
      <c r="AJ52" s="2017"/>
      <c r="AK52" s="238"/>
      <c r="AL52" s="351"/>
      <c r="AM52" s="350" t="s">
        <v>1540</v>
      </c>
      <c r="AN52" s="1680"/>
      <c r="AO52" s="1686"/>
      <c r="AP52" s="1680"/>
      <c r="AQ52" s="1680"/>
      <c r="AR52" s="1680"/>
      <c r="AS52" s="1680"/>
      <c r="AT52" s="1687"/>
      <c r="AU52" s="2244"/>
      <c r="AW52" s="428"/>
      <c r="AX52" s="428"/>
      <c r="AY52" s="428"/>
      <c r="AZ52" s="428"/>
    </row>
    <row r="53" spans="1:52" ht="11.25" customHeight="1">
      <c r="A53" s="1242" t="s">
        <v>204</v>
      </c>
      <c r="B53" s="1242"/>
      <c r="C53" s="1242"/>
      <c r="D53" s="1242"/>
      <c r="E53" s="2222"/>
      <c r="F53" s="2222"/>
      <c r="G53" s="2222"/>
      <c r="H53" s="2222"/>
      <c r="I53" s="2224"/>
      <c r="J53" s="2224"/>
      <c r="K53" s="2223"/>
      <c r="L53" s="1243"/>
      <c r="P53" s="2143"/>
      <c r="Q53" s="2143"/>
      <c r="R53" s="281"/>
      <c r="S53" s="2273"/>
      <c r="T53" s="2270"/>
      <c r="U53" s="218"/>
      <c r="V53" s="1680"/>
      <c r="W53" s="1686"/>
      <c r="X53" s="1680"/>
      <c r="Y53" s="1680"/>
      <c r="Z53" s="1680"/>
      <c r="AA53" s="1680"/>
      <c r="AB53" s="2017"/>
      <c r="AC53" s="2268"/>
      <c r="AD53" s="2267"/>
      <c r="AE53" s="2258"/>
      <c r="AF53" s="2017"/>
      <c r="AG53" s="212"/>
      <c r="AH53" s="350"/>
      <c r="AI53" s="350" t="s">
        <v>1541</v>
      </c>
      <c r="AJ53" s="1680"/>
      <c r="AK53" s="1680"/>
      <c r="AL53" s="1680"/>
      <c r="AM53" s="1680"/>
      <c r="AN53" s="1680"/>
      <c r="AO53" s="1686"/>
      <c r="AP53" s="1680"/>
      <c r="AQ53" s="1680"/>
      <c r="AR53" s="1680"/>
      <c r="AS53" s="1680"/>
      <c r="AT53" s="1687"/>
      <c r="AU53" s="2244"/>
      <c r="AW53" s="428"/>
      <c r="AX53" s="428"/>
      <c r="AY53" s="428"/>
      <c r="AZ53" s="428"/>
    </row>
    <row r="54" spans="1:52" ht="11.25" customHeight="1">
      <c r="A54" s="1242" t="s">
        <v>204</v>
      </c>
      <c r="B54" s="1242" t="s">
        <v>205</v>
      </c>
      <c r="C54" s="1242" t="s">
        <v>206</v>
      </c>
      <c r="D54" s="1242" t="s">
        <v>207</v>
      </c>
      <c r="E54" s="2222"/>
      <c r="F54" s="2222"/>
      <c r="G54" s="2222"/>
      <c r="H54" s="2222"/>
      <c r="I54" s="2224"/>
      <c r="J54" s="2224"/>
      <c r="K54" s="2223"/>
      <c r="L54" s="1243"/>
      <c r="P54" s="2143"/>
      <c r="Q54" s="2143"/>
      <c r="R54" s="281"/>
      <c r="S54" s="2274"/>
      <c r="T54" s="2271"/>
      <c r="U54" s="218"/>
      <c r="V54" s="1680"/>
      <c r="W54" s="1681" t="str">
        <f>X51&amp;"-"&amp;Z51</f>
        <v>-</v>
      </c>
      <c r="X54" s="1680"/>
      <c r="Y54" s="1680"/>
      <c r="Z54" s="1680"/>
      <c r="AA54" s="1680"/>
      <c r="AB54" s="2017"/>
      <c r="AC54" s="232"/>
      <c r="AD54" s="234"/>
      <c r="AE54" s="350" t="s">
        <v>1542</v>
      </c>
      <c r="AF54" s="1680"/>
      <c r="AG54" s="1680"/>
      <c r="AH54" s="1680"/>
      <c r="AI54" s="1680"/>
      <c r="AJ54" s="1680"/>
      <c r="AK54" s="1680"/>
      <c r="AL54" s="1680"/>
      <c r="AM54" s="1680"/>
      <c r="AN54" s="1680"/>
      <c r="AO54" s="1681" t="str">
        <f>AP51&amp;"-"&amp;AR51</f>
        <v>-</v>
      </c>
      <c r="AP54" s="1680"/>
      <c r="AQ54" s="1680"/>
      <c r="AR54" s="1680"/>
      <c r="AS54" s="1680"/>
      <c r="AT54" s="1673"/>
      <c r="AU54" s="2244"/>
      <c r="AW54" s="428"/>
      <c r="AX54" s="428" t="str">
        <f t="shared" ref="AX54:AX62" si="3">IF(T54="","",T54)</f>
        <v/>
      </c>
      <c r="AY54" s="428"/>
      <c r="AZ54" s="428"/>
    </row>
    <row r="55" spans="1:52" ht="11.25" customHeight="1">
      <c r="A55" s="1242" t="s">
        <v>204</v>
      </c>
      <c r="B55" s="1242" t="s">
        <v>205</v>
      </c>
      <c r="C55" s="1242" t="s">
        <v>206</v>
      </c>
      <c r="D55" s="1242" t="s">
        <v>207</v>
      </c>
      <c r="E55" s="2222"/>
      <c r="F55" s="2222"/>
      <c r="G55" s="2222"/>
      <c r="H55" s="2222"/>
      <c r="I55" s="2224"/>
      <c r="J55" s="2223"/>
      <c r="K55" s="1242"/>
      <c r="L55" s="1243"/>
      <c r="P55" s="2143"/>
      <c r="Q55" s="2143"/>
      <c r="R55" s="280"/>
      <c r="S55" s="1159"/>
      <c r="T55" s="205" t="s">
        <v>1543</v>
      </c>
      <c r="U55" s="294"/>
      <c r="V55" s="294"/>
      <c r="W55" s="294"/>
      <c r="X55" s="294"/>
      <c r="Y55" s="294"/>
      <c r="Z55" s="294"/>
      <c r="AA55" s="251"/>
      <c r="AB55" s="1364"/>
      <c r="AC55" s="294"/>
      <c r="AD55" s="294"/>
      <c r="AE55" s="294"/>
      <c r="AF55" s="294"/>
      <c r="AG55" s="294"/>
      <c r="AH55" s="294"/>
      <c r="AI55" s="294"/>
      <c r="AJ55" s="294"/>
      <c r="AK55" s="294"/>
      <c r="AL55" s="294"/>
      <c r="AM55" s="294"/>
      <c r="AN55" s="294"/>
      <c r="AO55" s="294"/>
      <c r="AP55" s="294"/>
      <c r="AQ55" s="294"/>
      <c r="AR55" s="294"/>
      <c r="AS55" s="294"/>
      <c r="AT55" s="251"/>
      <c r="AU55" s="2245"/>
      <c r="AW55" s="428"/>
      <c r="AX55" s="428" t="str">
        <f t="shared" si="3"/>
        <v>Добавить строку</v>
      </c>
      <c r="AY55" s="428"/>
      <c r="AZ55" s="428"/>
    </row>
    <row r="56" spans="1:52" s="1755" customFormat="1" ht="0" hidden="1" customHeight="1">
      <c r="A56" s="1226" t="s">
        <v>204</v>
      </c>
      <c r="B56" s="1226" t="s">
        <v>205</v>
      </c>
      <c r="C56" s="1226" t="s">
        <v>206</v>
      </c>
      <c r="D56" s="1226" t="s">
        <v>207</v>
      </c>
      <c r="E56" s="2222"/>
      <c r="F56" s="2222"/>
      <c r="G56" s="2222"/>
      <c r="H56" s="2222"/>
      <c r="I56" s="2223"/>
      <c r="J56" s="1226"/>
      <c r="K56" s="1226"/>
      <c r="L56" s="1229"/>
      <c r="M56" s="438"/>
      <c r="N56" s="438"/>
      <c r="O56" s="438"/>
      <c r="P56" s="2143"/>
      <c r="Q56" s="1214"/>
      <c r="R56" s="280"/>
      <c r="S56" s="1264"/>
      <c r="T56" s="1265" t="s">
        <v>1478</v>
      </c>
      <c r="U56" s="1266"/>
      <c r="V56" s="1266"/>
      <c r="W56" s="1266"/>
      <c r="X56" s="1266"/>
      <c r="Y56" s="1266"/>
      <c r="Z56" s="1266"/>
      <c r="AA56" s="1266"/>
      <c r="AB56" s="1266"/>
      <c r="AC56" s="1266"/>
      <c r="AD56" s="1266"/>
      <c r="AE56" s="1266"/>
      <c r="AF56" s="1266"/>
      <c r="AG56" s="1266"/>
      <c r="AH56" s="1266"/>
      <c r="AI56" s="1266"/>
      <c r="AJ56" s="1266"/>
      <c r="AK56" s="1266"/>
      <c r="AL56" s="1266"/>
      <c r="AM56" s="1266"/>
      <c r="AN56" s="1266"/>
      <c r="AO56" s="1266"/>
      <c r="AP56" s="1266"/>
      <c r="AQ56" s="1266"/>
      <c r="AR56" s="1266"/>
      <c r="AS56" s="1266"/>
      <c r="AT56" s="1266"/>
      <c r="AU56" s="1267"/>
      <c r="AW56" s="428"/>
      <c r="AX56" s="428" t="str">
        <f t="shared" si="3"/>
        <v>Добавить группу потребителей</v>
      </c>
      <c r="AY56" s="428"/>
      <c r="AZ56" s="428"/>
    </row>
    <row r="57" spans="1:52" s="1708" customFormat="1" ht="0" hidden="1" customHeight="1">
      <c r="A57" s="1226" t="s">
        <v>204</v>
      </c>
      <c r="B57" s="1226" t="s">
        <v>205</v>
      </c>
      <c r="C57" s="1226" t="s">
        <v>206</v>
      </c>
      <c r="D57" s="1226" t="s">
        <v>207</v>
      </c>
      <c r="E57" s="2222"/>
      <c r="F57" s="2222"/>
      <c r="G57" s="2222"/>
      <c r="H57" s="2221"/>
      <c r="I57" s="1226"/>
      <c r="J57" s="1226"/>
      <c r="K57" s="1226"/>
      <c r="L57" s="1229"/>
      <c r="M57" s="1199"/>
      <c r="N57" s="1199"/>
      <c r="O57" s="446"/>
      <c r="P57" s="311"/>
      <c r="Q57" s="1227"/>
      <c r="R57" s="1272"/>
      <c r="S57" s="1264"/>
      <c r="T57" s="1265"/>
      <c r="U57" s="1266"/>
      <c r="V57" s="1266"/>
      <c r="W57" s="1266"/>
      <c r="X57" s="1266"/>
      <c r="Y57" s="1266"/>
      <c r="Z57" s="1266"/>
      <c r="AA57" s="1266"/>
      <c r="AB57" s="1266"/>
      <c r="AC57" s="1266"/>
      <c r="AD57" s="1266"/>
      <c r="AE57" s="1266"/>
      <c r="AF57" s="1266"/>
      <c r="AG57" s="1266"/>
      <c r="AH57" s="1266"/>
      <c r="AI57" s="1266"/>
      <c r="AJ57" s="1266"/>
      <c r="AK57" s="1266"/>
      <c r="AL57" s="1266"/>
      <c r="AM57" s="1266"/>
      <c r="AN57" s="1266"/>
      <c r="AO57" s="1266"/>
      <c r="AP57" s="1266"/>
      <c r="AQ57" s="1266"/>
      <c r="AR57" s="1266"/>
      <c r="AS57" s="1266"/>
      <c r="AT57" s="1266"/>
      <c r="AU57" s="1267"/>
      <c r="AV57" s="439"/>
      <c r="AW57" s="428"/>
      <c r="AX57" s="428" t="str">
        <f t="shared" si="3"/>
        <v/>
      </c>
      <c r="AY57" s="428"/>
      <c r="AZ57" s="428"/>
    </row>
    <row r="58" spans="1:52" s="1755" customFormat="1" ht="0" hidden="1" customHeight="1">
      <c r="A58" s="1226" t="s">
        <v>204</v>
      </c>
      <c r="B58" s="1226" t="s">
        <v>205</v>
      </c>
      <c r="C58" s="1226" t="s">
        <v>206</v>
      </c>
      <c r="D58" s="1198"/>
      <c r="E58" s="2222"/>
      <c r="F58" s="2222"/>
      <c r="G58" s="2221"/>
      <c r="H58" s="1198"/>
      <c r="I58" s="1198"/>
      <c r="J58" s="1198"/>
      <c r="K58" s="1198"/>
      <c r="L58" s="1222"/>
      <c r="M58" s="1199"/>
      <c r="N58" s="1199"/>
      <c r="P58" s="1200"/>
      <c r="Q58" s="1201"/>
      <c r="R58" s="1200"/>
      <c r="S58" s="1206"/>
      <c r="T58" s="1209" t="s">
        <v>1438</v>
      </c>
      <c r="U58" s="1208"/>
      <c r="V58" s="1208"/>
      <c r="W58" s="1208"/>
      <c r="X58" s="1208"/>
      <c r="Y58" s="1208"/>
      <c r="Z58" s="1208"/>
      <c r="AA58" s="1208"/>
      <c r="AB58" s="1208"/>
      <c r="AC58" s="1208"/>
      <c r="AD58" s="1208"/>
      <c r="AE58" s="1208"/>
      <c r="AF58" s="1208"/>
      <c r="AG58" s="1208"/>
      <c r="AH58" s="1208"/>
      <c r="AI58" s="1208"/>
      <c r="AJ58" s="1208"/>
      <c r="AK58" s="1208"/>
      <c r="AL58" s="1208"/>
      <c r="AM58" s="1208"/>
      <c r="AN58" s="1208"/>
      <c r="AO58" s="1208"/>
      <c r="AP58" s="1208"/>
      <c r="AQ58" s="1208"/>
      <c r="AR58" s="1208"/>
      <c r="AS58" s="1208"/>
      <c r="AT58" s="1208"/>
      <c r="AU58" s="1208"/>
      <c r="AW58" s="695"/>
      <c r="AX58" s="695" t="str">
        <f t="shared" si="3"/>
        <v>Добавить источник для дифференциации</v>
      </c>
      <c r="AY58" s="695"/>
      <c r="AZ58" s="695"/>
    </row>
    <row r="59" spans="1:52" s="1755" customFormat="1" ht="0" hidden="1" customHeight="1">
      <c r="A59" s="1226" t="s">
        <v>204</v>
      </c>
      <c r="B59" s="1226" t="s">
        <v>205</v>
      </c>
      <c r="C59" s="1198"/>
      <c r="D59" s="1198"/>
      <c r="E59" s="2222"/>
      <c r="F59" s="2221"/>
      <c r="G59" s="1198"/>
      <c r="H59" s="1198"/>
      <c r="I59" s="1198"/>
      <c r="J59" s="1198"/>
      <c r="K59" s="1198"/>
      <c r="L59" s="1222"/>
      <c r="M59" s="1205"/>
      <c r="N59" s="1205"/>
      <c r="P59" s="1200"/>
      <c r="Q59" s="1201"/>
      <c r="R59" s="1200"/>
      <c r="S59" s="1206"/>
      <c r="T59" s="1209" t="s">
        <v>1439</v>
      </c>
      <c r="U59" s="1208"/>
      <c r="V59" s="1208"/>
      <c r="W59" s="1208"/>
      <c r="X59" s="1208"/>
      <c r="Y59" s="1208"/>
      <c r="Z59" s="1208"/>
      <c r="AA59" s="1208"/>
      <c r="AB59" s="1208"/>
      <c r="AC59" s="1208"/>
      <c r="AD59" s="1208"/>
      <c r="AE59" s="1208"/>
      <c r="AF59" s="1208"/>
      <c r="AG59" s="1208"/>
      <c r="AH59" s="1208"/>
      <c r="AI59" s="1208"/>
      <c r="AJ59" s="1208"/>
      <c r="AK59" s="1208"/>
      <c r="AL59" s="1208"/>
      <c r="AM59" s="1208"/>
      <c r="AN59" s="1208"/>
      <c r="AO59" s="1208"/>
      <c r="AP59" s="1208"/>
      <c r="AQ59" s="1208"/>
      <c r="AR59" s="1208"/>
      <c r="AS59" s="1208"/>
      <c r="AT59" s="1208"/>
      <c r="AU59" s="1208"/>
      <c r="AW59" s="695"/>
      <c r="AX59" s="695" t="str">
        <f t="shared" si="3"/>
        <v>Добавить централизованную систему для дифференциации</v>
      </c>
      <c r="AY59" s="695"/>
      <c r="AZ59" s="695"/>
    </row>
    <row r="60" spans="1:52" s="1755" customFormat="1" ht="0" hidden="1" customHeight="1">
      <c r="A60" s="1226" t="s">
        <v>204</v>
      </c>
      <c r="B60" s="1226"/>
      <c r="C60" s="1226"/>
      <c r="D60" s="1226"/>
      <c r="E60" s="2222"/>
      <c r="F60" s="1226"/>
      <c r="G60" s="1226"/>
      <c r="H60" s="1226"/>
      <c r="I60" s="1226"/>
      <c r="J60" s="1226"/>
      <c r="K60" s="1226"/>
      <c r="L60" s="1229"/>
      <c r="M60" s="1205"/>
      <c r="N60" s="1205"/>
      <c r="O60" s="446"/>
      <c r="P60" s="311"/>
      <c r="Q60" s="1227"/>
      <c r="R60" s="311"/>
      <c r="S60" s="1206"/>
      <c r="T60" s="1209" t="s">
        <v>1440</v>
      </c>
      <c r="U60" s="1208"/>
      <c r="V60" s="1208"/>
      <c r="W60" s="1208"/>
      <c r="X60" s="1208"/>
      <c r="Y60" s="1208"/>
      <c r="Z60" s="1208"/>
      <c r="AA60" s="1208"/>
      <c r="AB60" s="1208"/>
      <c r="AC60" s="1208"/>
      <c r="AD60" s="1208"/>
      <c r="AE60" s="1208"/>
      <c r="AF60" s="1208"/>
      <c r="AG60" s="1208"/>
      <c r="AH60" s="1208"/>
      <c r="AI60" s="1208"/>
      <c r="AJ60" s="1208"/>
      <c r="AK60" s="1208"/>
      <c r="AL60" s="1208"/>
      <c r="AM60" s="1208"/>
      <c r="AN60" s="1208"/>
      <c r="AO60" s="1208"/>
      <c r="AP60" s="1208"/>
      <c r="AQ60" s="1208"/>
      <c r="AR60" s="1208"/>
      <c r="AS60" s="1208"/>
      <c r="AT60" s="1208"/>
      <c r="AU60" s="1208"/>
      <c r="AW60" s="428"/>
      <c r="AX60" s="428" t="str">
        <f t="shared" si="3"/>
        <v>Добавить территорию для дифференциации</v>
      </c>
      <c r="AY60" s="428"/>
      <c r="AZ60" s="428"/>
    </row>
    <row r="61" spans="1:52" s="1755" customFormat="1" ht="0" hidden="1" customHeight="1">
      <c r="A61" s="1226" t="s">
        <v>204</v>
      </c>
      <c r="B61" s="1226"/>
      <c r="C61" s="1226"/>
      <c r="D61" s="1226"/>
      <c r="E61" s="2221"/>
      <c r="F61" s="1226"/>
      <c r="G61" s="1226"/>
      <c r="H61" s="1226"/>
      <c r="I61" s="1226"/>
      <c r="J61" s="1226"/>
      <c r="K61" s="1226"/>
      <c r="L61" s="1229"/>
      <c r="M61" s="1205"/>
      <c r="N61" s="1205"/>
      <c r="O61" s="446"/>
      <c r="P61" s="311"/>
      <c r="Q61" s="1227"/>
      <c r="R61" s="311"/>
      <c r="S61" s="1206"/>
      <c r="T61" s="1209" t="s">
        <v>1440</v>
      </c>
      <c r="U61" s="1208"/>
      <c r="V61" s="1208"/>
      <c r="W61" s="1208"/>
      <c r="X61" s="1208"/>
      <c r="Y61" s="1208"/>
      <c r="Z61" s="1208"/>
      <c r="AA61" s="1208"/>
      <c r="AB61" s="1208"/>
      <c r="AC61" s="1208"/>
      <c r="AD61" s="1208"/>
      <c r="AE61" s="1208"/>
      <c r="AF61" s="1208"/>
      <c r="AG61" s="1208"/>
      <c r="AH61" s="1208"/>
      <c r="AI61" s="1208"/>
      <c r="AJ61" s="1208"/>
      <c r="AK61" s="1208"/>
      <c r="AL61" s="1208"/>
      <c r="AM61" s="1208"/>
      <c r="AN61" s="1208"/>
      <c r="AO61" s="1208"/>
      <c r="AP61" s="1208"/>
      <c r="AQ61" s="1208"/>
      <c r="AR61" s="1208"/>
      <c r="AS61" s="1208"/>
      <c r="AT61" s="1208"/>
      <c r="AU61" s="1208"/>
      <c r="AW61" s="428"/>
      <c r="AX61" s="428" t="str">
        <f t="shared" si="3"/>
        <v>Добавить территорию для дифференциации</v>
      </c>
      <c r="AY61" s="428"/>
      <c r="AZ61" s="428"/>
    </row>
    <row r="62" spans="1:52" s="1755" customFormat="1" ht="0" hidden="1" customHeight="1">
      <c r="A62" s="1198"/>
      <c r="B62" s="1198"/>
      <c r="C62" s="1198"/>
      <c r="D62" s="1198"/>
      <c r="E62" s="1226"/>
      <c r="F62" s="1198"/>
      <c r="G62" s="1198"/>
      <c r="H62" s="1198"/>
      <c r="I62" s="1198"/>
      <c r="J62" s="1198"/>
      <c r="K62" s="1198"/>
      <c r="L62" s="1222"/>
      <c r="M62" s="1205"/>
      <c r="N62" s="1205"/>
      <c r="P62" s="1200"/>
      <c r="Q62" s="1201"/>
      <c r="R62" s="1200"/>
      <c r="S62" s="1206"/>
      <c r="T62" s="1209" t="s">
        <v>1441</v>
      </c>
      <c r="U62" s="1208"/>
      <c r="V62" s="1208"/>
      <c r="W62" s="1208"/>
      <c r="X62" s="1208"/>
      <c r="Y62" s="1208"/>
      <c r="Z62" s="1208"/>
      <c r="AA62" s="1208"/>
      <c r="AB62" s="1208"/>
      <c r="AC62" s="1208"/>
      <c r="AD62" s="1208"/>
      <c r="AE62" s="1208"/>
      <c r="AF62" s="1208"/>
      <c r="AG62" s="1208"/>
      <c r="AH62" s="1208"/>
      <c r="AI62" s="1208"/>
      <c r="AJ62" s="1208"/>
      <c r="AK62" s="1208"/>
      <c r="AL62" s="1208"/>
      <c r="AM62" s="1208"/>
      <c r="AN62" s="1208"/>
      <c r="AO62" s="1208"/>
      <c r="AP62" s="1208"/>
      <c r="AQ62" s="1208"/>
      <c r="AR62" s="1208"/>
      <c r="AS62" s="1208"/>
      <c r="AT62" s="1208"/>
      <c r="AU62" s="1208"/>
      <c r="AW62" s="695"/>
      <c r="AX62" s="695" t="str">
        <f t="shared" si="3"/>
        <v>Добавить наименование тарифа</v>
      </c>
      <c r="AY62" s="695"/>
      <c r="AZ62" s="695"/>
    </row>
    <row r="63" spans="1:52" ht="11.25" hidden="1" customHeight="1">
      <c r="M63" s="1034"/>
      <c r="N63" s="1034"/>
      <c r="O63" s="464"/>
      <c r="P63" s="1034"/>
      <c r="Q63" s="1034"/>
      <c r="R63" s="1029"/>
      <c r="S63" s="1029"/>
      <c r="AV63" s="1029"/>
      <c r="AW63" s="1029"/>
      <c r="AX63" s="1029"/>
      <c r="AY63" s="1029"/>
      <c r="AZ63" s="1029"/>
    </row>
    <row r="64" spans="1:52" ht="18.75" hidden="1" customHeight="1">
      <c r="O64" s="464"/>
      <c r="S64" s="1126" t="s">
        <v>1511</v>
      </c>
      <c r="T64" s="2220" t="s">
        <v>1554</v>
      </c>
      <c r="U64" s="2220"/>
      <c r="V64" s="2220"/>
      <c r="W64" s="2220"/>
      <c r="X64" s="2220"/>
      <c r="Y64" s="2220"/>
      <c r="Z64" s="2220"/>
      <c r="AA64" s="2220"/>
      <c r="AB64" s="2220"/>
      <c r="AC64" s="2220"/>
      <c r="AD64" s="2220"/>
      <c r="AE64" s="2220"/>
      <c r="AF64" s="2220"/>
      <c r="AG64" s="2220"/>
      <c r="AH64" s="2220"/>
      <c r="AI64" s="2220"/>
      <c r="AJ64" s="2220"/>
      <c r="AK64" s="2220"/>
      <c r="AL64" s="2220"/>
      <c r="AM64" s="2220"/>
      <c r="AN64" s="2220"/>
      <c r="AO64" s="2220"/>
      <c r="AP64" s="2220"/>
      <c r="AQ64" s="2220"/>
      <c r="AR64" s="2220"/>
      <c r="AS64" s="2220"/>
      <c r="AT64" s="2220"/>
      <c r="AU64" s="2220"/>
    </row>
    <row r="65" spans="15:47" ht="19.5" hidden="1" customHeight="1">
      <c r="O65" s="464"/>
      <c r="T65" s="2220" t="s">
        <v>1537</v>
      </c>
      <c r="U65" s="2220"/>
      <c r="V65" s="2220"/>
      <c r="W65" s="2220"/>
      <c r="X65" s="2220"/>
      <c r="Y65" s="2220"/>
      <c r="Z65" s="2220"/>
      <c r="AA65" s="2220"/>
      <c r="AB65" s="2220"/>
      <c r="AC65" s="2220"/>
      <c r="AD65" s="2220"/>
      <c r="AE65" s="2220"/>
      <c r="AF65" s="2220"/>
      <c r="AG65" s="2220"/>
      <c r="AH65" s="2220"/>
      <c r="AI65" s="2220"/>
      <c r="AJ65" s="2220"/>
      <c r="AK65" s="2220"/>
      <c r="AL65" s="2220"/>
      <c r="AM65" s="2220"/>
      <c r="AN65" s="2220"/>
      <c r="AO65" s="2220"/>
      <c r="AP65" s="2220"/>
      <c r="AQ65" s="2220"/>
      <c r="AR65" s="2220"/>
      <c r="AS65" s="2220"/>
      <c r="AT65" s="2220"/>
      <c r="AU65" s="2220"/>
    </row>
    <row r="66" spans="15:47" ht="14.25" hidden="1" customHeight="1">
      <c r="O66" s="464"/>
      <c r="T66" s="1216"/>
      <c r="U66" s="1216"/>
      <c r="V66" s="1216"/>
      <c r="W66" s="1216"/>
      <c r="X66" s="1216"/>
      <c r="Y66" s="1216"/>
      <c r="Z66" s="1216"/>
      <c r="AA66" s="1216"/>
      <c r="AB66" s="1216"/>
      <c r="AC66" s="1216"/>
      <c r="AD66" s="1216"/>
      <c r="AE66" s="1216"/>
      <c r="AF66" s="1216"/>
      <c r="AG66" s="1216"/>
      <c r="AH66" s="1216"/>
      <c r="AI66" s="1216"/>
      <c r="AJ66" s="1216"/>
      <c r="AK66" s="1216"/>
      <c r="AL66" s="1216"/>
      <c r="AM66" s="1216"/>
      <c r="AN66" s="1216"/>
      <c r="AO66" s="1216"/>
      <c r="AP66" s="1216"/>
      <c r="AQ66" s="1216"/>
      <c r="AR66" s="1216"/>
      <c r="AS66" s="1216"/>
      <c r="AT66" s="1216"/>
      <c r="AU66" s="1216"/>
    </row>
    <row r="67" spans="15:47" ht="18.75" hidden="1" customHeight="1">
      <c r="O67" s="464"/>
      <c r="T67" s="2220" t="s">
        <v>1555</v>
      </c>
      <c r="U67" s="2220"/>
      <c r="V67" s="2220"/>
      <c r="W67" s="2220"/>
      <c r="X67" s="2220"/>
      <c r="Y67" s="2220"/>
      <c r="Z67" s="2220"/>
      <c r="AA67" s="2220"/>
      <c r="AB67" s="2220"/>
      <c r="AC67" s="2220"/>
      <c r="AD67" s="2220"/>
      <c r="AE67" s="2220"/>
      <c r="AF67" s="2220"/>
      <c r="AG67" s="2220"/>
      <c r="AH67" s="2220"/>
      <c r="AI67" s="2220"/>
      <c r="AJ67" s="2220"/>
      <c r="AK67" s="2220"/>
      <c r="AL67" s="2220"/>
      <c r="AM67" s="2220"/>
      <c r="AN67" s="2220"/>
      <c r="AO67" s="2220"/>
      <c r="AP67" s="2220"/>
      <c r="AQ67" s="2220"/>
      <c r="AR67" s="2220"/>
      <c r="AS67" s="2220"/>
      <c r="AT67" s="2220"/>
      <c r="AU67" s="2220"/>
    </row>
    <row r="68" spans="15:47" ht="15.75" hidden="1" customHeight="1">
      <c r="O68" s="464"/>
      <c r="T68" s="2220" t="s">
        <v>1537</v>
      </c>
      <c r="U68" s="2220"/>
      <c r="V68" s="2220"/>
      <c r="W68" s="2220"/>
      <c r="X68" s="2220"/>
      <c r="Y68" s="2220"/>
      <c r="Z68" s="2220"/>
      <c r="AA68" s="2220"/>
      <c r="AB68" s="2220"/>
      <c r="AC68" s="2220"/>
      <c r="AD68" s="2220"/>
      <c r="AE68" s="2220"/>
      <c r="AF68" s="2220"/>
      <c r="AG68" s="2220"/>
      <c r="AH68" s="2220"/>
      <c r="AI68" s="2220"/>
      <c r="AJ68" s="2220"/>
      <c r="AK68" s="2220"/>
      <c r="AL68" s="2220"/>
      <c r="AM68" s="2220"/>
      <c r="AN68" s="2220"/>
      <c r="AO68" s="2220"/>
      <c r="AP68" s="2220"/>
      <c r="AQ68" s="2220"/>
      <c r="AR68" s="2220"/>
      <c r="AS68" s="2220"/>
      <c r="AT68" s="2220"/>
      <c r="AU68" s="2220"/>
    </row>
    <row r="69" spans="15:47" ht="14.25" customHeight="1">
      <c r="O69" s="464"/>
    </row>
  </sheetData>
  <sheetProtection formatColumns="0" formatRows="0" insertRows="0" deleteColumns="0" deleteRows="0" sort="0" autoFilter="0"/>
  <mergeCells count="117">
    <mergeCell ref="AU8:AU12"/>
    <mergeCell ref="AJ8:AJ9"/>
    <mergeCell ref="AB8:AB11"/>
    <mergeCell ref="AC8:AC10"/>
    <mergeCell ref="AD8:AD10"/>
    <mergeCell ref="AI8:AI9"/>
    <mergeCell ref="S33:T33"/>
    <mergeCell ref="V33:Z33"/>
    <mergeCell ref="AB33:AR33"/>
    <mergeCell ref="S32:T32"/>
    <mergeCell ref="V32:Z32"/>
    <mergeCell ref="AB32:AR32"/>
    <mergeCell ref="AB2:AT2"/>
    <mergeCell ref="V3:AA3"/>
    <mergeCell ref="AB3:AT3"/>
    <mergeCell ref="V4:AA4"/>
    <mergeCell ref="AB4:AT4"/>
    <mergeCell ref="AB5:AT5"/>
    <mergeCell ref="AB6:AT6"/>
    <mergeCell ref="AB7:AT7"/>
    <mergeCell ref="S36:T36"/>
    <mergeCell ref="V36:Z36"/>
    <mergeCell ref="AB36:AR36"/>
    <mergeCell ref="S27:AR27"/>
    <mergeCell ref="S28:AR28"/>
    <mergeCell ref="S30:T30"/>
    <mergeCell ref="V30:Z30"/>
    <mergeCell ref="AB30:AR30"/>
    <mergeCell ref="S31:T31"/>
    <mergeCell ref="V31:Z31"/>
    <mergeCell ref="AB31:AR31"/>
    <mergeCell ref="AE8:AE10"/>
    <mergeCell ref="AF8:AF10"/>
    <mergeCell ref="AG8:AG9"/>
    <mergeCell ref="AH8:AH9"/>
    <mergeCell ref="AQ43:AR43"/>
    <mergeCell ref="AN41:AO42"/>
    <mergeCell ref="AP41:AR42"/>
    <mergeCell ref="S40:S43"/>
    <mergeCell ref="S39:AT39"/>
    <mergeCell ref="AN40:AR40"/>
    <mergeCell ref="AB40:AE43"/>
    <mergeCell ref="AF40:AI43"/>
    <mergeCell ref="S35:T35"/>
    <mergeCell ref="V35:Z35"/>
    <mergeCell ref="AB35:AR35"/>
    <mergeCell ref="V38:AA38"/>
    <mergeCell ref="AB38:AS38"/>
    <mergeCell ref="AA40:AA43"/>
    <mergeCell ref="AS40:AS43"/>
    <mergeCell ref="AT40:AT43"/>
    <mergeCell ref="E45:E61"/>
    <mergeCell ref="V45:AA45"/>
    <mergeCell ref="AB45:AT45"/>
    <mergeCell ref="F46:F59"/>
    <mergeCell ref="V46:AA46"/>
    <mergeCell ref="AB46:AT46"/>
    <mergeCell ref="G47:G58"/>
    <mergeCell ref="V47:AA47"/>
    <mergeCell ref="AB47:AT47"/>
    <mergeCell ref="H48:H57"/>
    <mergeCell ref="V48:AA48"/>
    <mergeCell ref="AB48:AT48"/>
    <mergeCell ref="I49:I56"/>
    <mergeCell ref="P49:P56"/>
    <mergeCell ref="V49:AA49"/>
    <mergeCell ref="AB49:AT49"/>
    <mergeCell ref="J50:J55"/>
    <mergeCell ref="Q50:Q55"/>
    <mergeCell ref="V50:AA50"/>
    <mergeCell ref="AB50:AT50"/>
    <mergeCell ref="K51:K54"/>
    <mergeCell ref="S51:S54"/>
    <mergeCell ref="E2:E17"/>
    <mergeCell ref="F3:F16"/>
    <mergeCell ref="G4:G15"/>
    <mergeCell ref="H5:H14"/>
    <mergeCell ref="V5:AA5"/>
    <mergeCell ref="X8:X11"/>
    <mergeCell ref="Y8:Y11"/>
    <mergeCell ref="Z8:Z11"/>
    <mergeCell ref="AA8:AA11"/>
    <mergeCell ref="V2:AA2"/>
    <mergeCell ref="I6:I13"/>
    <mergeCell ref="P6:P13"/>
    <mergeCell ref="V6:AA6"/>
    <mergeCell ref="J7:J12"/>
    <mergeCell ref="Q7:Q12"/>
    <mergeCell ref="V7:AA7"/>
    <mergeCell ref="K8:K11"/>
    <mergeCell ref="S8:S11"/>
    <mergeCell ref="T8:T11"/>
    <mergeCell ref="R8:R11"/>
    <mergeCell ref="T67:AU67"/>
    <mergeCell ref="T68:AU68"/>
    <mergeCell ref="AI51:AI52"/>
    <mergeCell ref="AJ51:AJ52"/>
    <mergeCell ref="AJ40:AM43"/>
    <mergeCell ref="AD51:AD53"/>
    <mergeCell ref="AE51:AE53"/>
    <mergeCell ref="AF51:AF53"/>
    <mergeCell ref="AG51:AG52"/>
    <mergeCell ref="AH51:AH52"/>
    <mergeCell ref="T64:AU64"/>
    <mergeCell ref="T65:AU65"/>
    <mergeCell ref="T51:T54"/>
    <mergeCell ref="AB51:AB54"/>
    <mergeCell ref="AC51:AC53"/>
    <mergeCell ref="AU39:AU43"/>
    <mergeCell ref="T40:T43"/>
    <mergeCell ref="V40:Z40"/>
    <mergeCell ref="AU51:AU55"/>
    <mergeCell ref="Y44:Z44"/>
    <mergeCell ref="AQ44:AR44"/>
    <mergeCell ref="V41:W42"/>
    <mergeCell ref="X41:Z42"/>
    <mergeCell ref="Y43:Z43"/>
  </mergeCells>
  <dataValidations count="8">
    <dataValidation type="list" allowBlank="1" showInputMessage="1" errorTitle="Ошибка" error="Выберите значение из списка" prompt="Выберите значение из списка" sqref="V917557:AT917557 V983093:AT983093 V65589:AT65589 V131125:AT131125 V196661:AT196661 V262197:AT262197 V327733:AT327733 V393269:AT393269 V458805:AT458805 V524341:AT524341 V589877:AT589877 V655413:AT655413 V720949:AT720949 V786485:AT786485 V852021:AT852021">
      <formula1>kind_of_cons</formula1>
    </dataValidation>
    <dataValidation allowBlank="1" sqref="S131128:AU131134 S196664:AU196670 S262200:AU262206 S327736:AU327742 S393272:AU393278 S458808:AU458814 S524344:AU524350 S589880:AU589886 S655416:AU655422 S720952:AU720958 S786488:AU786494 S852024:AU852030 S917560:AU917566 S983096:AU983102 S65592:AU65598"/>
    <dataValidation type="list" allowBlank="1" showInputMessage="1" showErrorMessage="1" errorTitle="Ошибка" error="Выберите значение из списка" sqref="T65590 T131126 T196662 T262198 T327734 T393270 T458806 T524342 T589878 T655414 T720950 T786486 T852022 T917558 T983094">
      <formula1>kind_of_heat_transfer</formula1>
    </dataValidation>
    <dataValidation type="list" allowBlank="1" showInputMessage="1" showErrorMessage="1" errorTitle="Ошибка" error="Выберите значение из списка" sqref="AB983092:AM983092 AB65588:AM65588 AB131124:AM131124 AB196660:AM196660 AB262196:AM262196 AB327732:AM327732 AB393268:AM393268 AB458804:AM458804 AB524340:AM524340 AB589876:AM589876 AB655412:AM655412 AB720948:AM720948 AB786484:AM786484 AB852020:AM852020 AB917556:AM917556">
      <formula1>kind_of_scheme_in</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X65590 X131126 X196662 X262198 X327734 X393270 X458806 X524342 X589878 X655414 X720950 X786486 X852022 X917558 X983094 Z65590 Z131126 Z196662 Z262198 Z327734 Z393270 Z458806 Z524342 Z589878 Z655414 Z720950 Z786486 Z852022 Z917558 Z983094 X8:X10 Z8:Z10 AP65590 AP131126 AP196662 AP262198 AP327734 AP393270 AP458806 AP524342 AP589878 AP655414 AP720950 AP786486 AP852022 AP917558 AP983094 AR65590 AR131126 AR196662 AR262198 AR327734 AR393270 AR458806 AR524342 AR589878 AR655414 AR720950 AR786486 AR852022 AR917558 AR983094 AR8 AR51 AR19 AP19 AP8 AP51 Z51 X51"/>
    <dataValidation allowBlank="1" promptTitle="checkPeriodRange" sqref="W65591 W131127 W196663 W262199 W327735 W393271 W458807 W524343 W589879 W655415 W720951 W786487 W852023 W917559 W983095 AO54 W11 AO65591 AO131127 AO196663 AO262199 AO327735 AO393271 AO458807 AO524343 AO589879 AO655415 AO720951 AO786487 AO852023 AO917559 AO983095 AO11 W54"/>
    <dataValidation type="textLength" operator="lessThanOrEqual" allowBlank="1" showInputMessage="1" showErrorMessage="1" errorTitle="Ошибка" error="Допускается ввод не более 900 символов!" sqref="AU65584:AU65591 AU131120:AU131127 AU196656:AU196663 AU262192:AU262199 AU327728:AU327735 AU393264:AU393271 AU458800:AU458807 AU524336:AU524343 AU589872:AU589879 AU655408:AU655415 AU720944:AU720951 AU786480:AU786487 AU852016:AU852023 AU917552:AU917559 AU983088:AU983095 T8:T11 T51:T54">
      <formula1>900</formula1>
    </dataValidation>
    <dataValidation allowBlank="1" showInputMessage="1" showErrorMessage="1" prompt="Для выбора выполните двойной щелчок левой клавиши мыши по соответствующей ячейке." sqref="Y65590 Y131126 Y196662 Y262198 Y327734 Y393270 Y458806 Y524342 Y589878 Y655414 Y720950 Y786486 Y852022 Y917558 Y983094 AA131126 AA458806 AA196662 AA262198 AA327734 AA393270 AA524342 AA589878 AA655414 AA720950 AA786486 AA852022 AA917558 AA983094 AA65590 AA8:AA10 Y8:Y10 AQ65590 AQ131126 AQ196662 AQ262198 AQ327734 AQ393270 AQ458806 AQ524342 AQ589878 AQ655414 AQ720950 AQ786486 AQ852022 AQ917558 AQ983094 AS131126 AS458806 AS196662 AS262198 AS327734 AS393270 AS524342 AS589878 AS655414 AS720950 AS786486 AS852022 AS917558 AS983094 AS65590 AQ8 AB8 AE8:AF8 AI8:AJ8 AQ19 AS51 AS19 AB19 AE19:AF19 AI19:AJ19 AI51:AJ51 AE51:AF51 AA51:AB51 AS8 AQ51 Y51"/>
  </dataValidation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39997558519241921"/>
  </sheetPr>
  <dimension ref="A1:AC40"/>
  <sheetViews>
    <sheetView showGridLines="0" topLeftCell="I4" workbookViewId="0"/>
  </sheetViews>
  <sheetFormatPr defaultColWidth="10.5703125" defaultRowHeight="14.25" customHeight="1"/>
  <cols>
    <col min="1" max="1" width="10.5703125" style="1742" hidden="1"/>
    <col min="2" max="2" width="11" style="1742" hidden="1" customWidth="1"/>
    <col min="3" max="3" width="10.5703125" style="1742" hidden="1"/>
    <col min="4" max="4" width="11.85546875" style="1742" hidden="1" customWidth="1"/>
    <col min="5" max="5" width="12.28515625" style="1742" hidden="1" customWidth="1"/>
    <col min="6" max="8" width="12.28515625" style="1683" hidden="1" customWidth="1"/>
    <col min="9" max="9" width="3.7109375" style="1720" customWidth="1"/>
    <col min="10" max="11" width="3.7109375" style="1674" customWidth="1"/>
    <col min="12" max="12" width="12.7109375" style="1713" customWidth="1"/>
    <col min="13" max="13" width="32" style="1829" customWidth="1"/>
    <col min="14" max="14" width="1.7109375" style="1829" customWidth="1"/>
    <col min="15" max="18" width="24.7109375" style="1829" customWidth="1"/>
    <col min="19" max="19" width="11.7109375" style="1829" customWidth="1"/>
    <col min="20" max="20" width="3.7109375" style="1829" customWidth="1"/>
    <col min="21" max="21" width="11.7109375" style="1829" customWidth="1"/>
    <col min="22" max="22" width="8.5703125" style="1829" customWidth="1"/>
    <col min="23" max="23" width="4.7109375" style="1829" customWidth="1"/>
    <col min="24" max="24" width="115.7109375" style="1829" customWidth="1"/>
    <col min="25" max="26" width="10.5703125" style="1755"/>
    <col min="27" max="27" width="11.140625" style="1755" customWidth="1"/>
    <col min="28" max="29" width="10.5703125" style="1755"/>
  </cols>
  <sheetData>
    <row r="1" spans="1:29" ht="14.25" hidden="1" customHeight="1">
      <c r="R1" s="254"/>
      <c r="S1" s="254"/>
    </row>
    <row r="2" spans="1:29" ht="14.25" hidden="1" customHeight="1">
      <c r="V2" s="254"/>
    </row>
    <row r="3" spans="1:29" ht="14.25" hidden="1" customHeight="1"/>
    <row r="4" spans="1:29" ht="14.25" customHeight="1">
      <c r="J4" s="304"/>
      <c r="K4" s="304"/>
      <c r="L4" s="1156"/>
      <c r="M4" s="289"/>
      <c r="N4" s="289"/>
      <c r="O4" s="437"/>
      <c r="P4" s="437"/>
      <c r="Q4" s="437"/>
      <c r="R4" s="437"/>
      <c r="S4" s="437"/>
      <c r="T4" s="437"/>
      <c r="U4" s="437"/>
      <c r="V4" s="437"/>
    </row>
    <row r="5" spans="1:29" ht="64.5" customHeight="1">
      <c r="J5" s="304"/>
      <c r="K5" s="304"/>
      <c r="L5" s="2065" t="s">
        <v>415</v>
      </c>
      <c r="M5" s="2065"/>
      <c r="N5" s="2065"/>
      <c r="O5" s="2065"/>
      <c r="P5" s="2065"/>
      <c r="Q5" s="2065"/>
      <c r="R5" s="2065"/>
      <c r="S5" s="2065"/>
      <c r="T5" s="2065"/>
      <c r="U5" s="2065"/>
      <c r="V5" s="1114"/>
    </row>
    <row r="6" spans="1:29" ht="14.25" customHeight="1">
      <c r="J6" s="304"/>
      <c r="K6" s="304"/>
      <c r="L6" s="2088" t="str">
        <f>IF(org=0,"Не определено",org)</f>
        <v>МУП г. Астрахани "Коммунэнерго"</v>
      </c>
      <c r="M6" s="2088"/>
      <c r="N6" s="2088"/>
      <c r="O6" s="2088"/>
      <c r="P6" s="2088"/>
      <c r="Q6" s="2088"/>
      <c r="R6" s="2088"/>
      <c r="S6" s="2088"/>
      <c r="T6" s="2088"/>
      <c r="U6" s="2088"/>
      <c r="V6" s="1114"/>
    </row>
    <row r="7" spans="1:29" ht="14.25" customHeight="1">
      <c r="J7" s="304"/>
      <c r="K7" s="304"/>
      <c r="L7" s="1156"/>
      <c r="M7" s="289"/>
      <c r="N7" s="289"/>
      <c r="O7" s="248"/>
      <c r="P7" s="248"/>
      <c r="Q7" s="248"/>
      <c r="R7" s="248"/>
      <c r="S7" s="248"/>
      <c r="T7" s="248"/>
      <c r="U7" s="248"/>
      <c r="V7" s="248"/>
      <c r="W7" s="437"/>
    </row>
    <row r="8" spans="1:29" s="1933" customFormat="1" ht="45" customHeight="1">
      <c r="A8" s="1247"/>
      <c r="B8" s="1247"/>
      <c r="C8" s="1247"/>
      <c r="D8" s="1247"/>
      <c r="E8" s="1247"/>
      <c r="F8" s="1247"/>
      <c r="G8" s="1247"/>
      <c r="H8" s="1247"/>
      <c r="L8" s="1157"/>
      <c r="M8" s="213" t="s">
        <v>38</v>
      </c>
      <c r="N8" s="222"/>
      <c r="O8" s="2214" t="str">
        <f>IF(TITLE_NAME_OR_PR_CHANGE="",IF(TITLE_NAME_OR_PR="","",TITLE_NAME_OR_PR),TITLE_NAME_OR_PR_CHANGE)</f>
        <v/>
      </c>
      <c r="P8" s="2214"/>
      <c r="Q8" s="2214"/>
      <c r="R8" s="2214"/>
      <c r="S8" s="2214"/>
      <c r="T8" s="2214"/>
      <c r="U8" s="2214"/>
      <c r="V8" s="253"/>
      <c r="W8" s="253"/>
      <c r="X8" s="199"/>
      <c r="Y8" s="295"/>
      <c r="Z8" s="295"/>
      <c r="AA8" s="295"/>
      <c r="AB8" s="295"/>
      <c r="AC8" s="295"/>
    </row>
    <row r="9" spans="1:29" s="1933" customFormat="1" ht="22.5" customHeight="1">
      <c r="A9" s="1247"/>
      <c r="B9" s="1247"/>
      <c r="C9" s="1247"/>
      <c r="D9" s="1247"/>
      <c r="E9" s="1247"/>
      <c r="F9" s="1247"/>
      <c r="G9" s="1247"/>
      <c r="H9" s="1247"/>
      <c r="L9" s="1157"/>
      <c r="M9" s="213" t="s">
        <v>1486</v>
      </c>
      <c r="N9" s="222"/>
      <c r="O9" s="2214" t="str">
        <f>IF(TITLE_DATE_CHANGE_PERIOD="",IF(TITLE_DATE_PR="","",TITLE_DATE_PR),TITLE_DATE_CHANGE_PERIOD)</f>
        <v/>
      </c>
      <c r="P9" s="2214"/>
      <c r="Q9" s="2214"/>
      <c r="R9" s="2214"/>
      <c r="S9" s="2214"/>
      <c r="T9" s="2214"/>
      <c r="U9" s="2214"/>
      <c r="V9" s="253"/>
      <c r="W9" s="253"/>
      <c r="X9" s="199"/>
      <c r="Y9" s="295"/>
      <c r="Z9" s="295"/>
      <c r="AA9" s="295"/>
      <c r="AB9" s="295"/>
      <c r="AC9" s="295"/>
    </row>
    <row r="10" spans="1:29" s="1933" customFormat="1" ht="22.5" customHeight="1">
      <c r="A10" s="1247"/>
      <c r="B10" s="1247"/>
      <c r="C10" s="1247"/>
      <c r="D10" s="1247"/>
      <c r="E10" s="1247"/>
      <c r="F10" s="1247"/>
      <c r="G10" s="1247"/>
      <c r="H10" s="1247"/>
      <c r="L10" s="1122"/>
      <c r="M10" s="213" t="s">
        <v>1487</v>
      </c>
      <c r="N10" s="222"/>
      <c r="O10" s="2214" t="str">
        <f>IF(TITLE_NUMBER_PR_CHANGE="",IF(TITLE_NUMBER_PR="","",TITLE_NUMBER_PR),TITLE_NUMBER_PR_CHANGE)</f>
        <v/>
      </c>
      <c r="P10" s="2214"/>
      <c r="Q10" s="2214"/>
      <c r="R10" s="2214"/>
      <c r="S10" s="2214"/>
      <c r="T10" s="2214"/>
      <c r="U10" s="2214"/>
      <c r="V10" s="253"/>
      <c r="W10" s="253"/>
      <c r="X10" s="199"/>
      <c r="Y10" s="295"/>
      <c r="Z10" s="295"/>
      <c r="AA10" s="295"/>
      <c r="AB10" s="295"/>
      <c r="AC10" s="295"/>
    </row>
    <row r="11" spans="1:29" s="1933" customFormat="1" ht="22.5" customHeight="1">
      <c r="A11" s="1247"/>
      <c r="B11" s="1247"/>
      <c r="C11" s="1247"/>
      <c r="D11" s="1247"/>
      <c r="E11" s="1247"/>
      <c r="F11" s="1247"/>
      <c r="G11" s="1247"/>
      <c r="H11" s="1247"/>
      <c r="L11" s="1122"/>
      <c r="M11" s="213" t="s">
        <v>39</v>
      </c>
      <c r="N11" s="222"/>
      <c r="O11" s="2214" t="str">
        <f>IF(TITLE_IST_PUB_CHANGE="",IF(TITLE_IST_PUB="","",TITLE_IST_PUB),TITLE_IST_PUB_CHANGE)</f>
        <v/>
      </c>
      <c r="P11" s="2214"/>
      <c r="Q11" s="2214"/>
      <c r="R11" s="2214"/>
      <c r="S11" s="2214"/>
      <c r="T11" s="2214"/>
      <c r="U11" s="2214"/>
      <c r="V11" s="253"/>
      <c r="W11" s="253"/>
      <c r="X11" s="199"/>
      <c r="Y11" s="295"/>
      <c r="Z11" s="295"/>
      <c r="AA11" s="295"/>
      <c r="AB11" s="295"/>
      <c r="AC11" s="295"/>
    </row>
    <row r="12" spans="1:29" s="1933" customFormat="1" ht="11.25" hidden="1" customHeight="1">
      <c r="A12" s="1247"/>
      <c r="B12" s="1247"/>
      <c r="C12" s="1247"/>
      <c r="D12" s="1247"/>
      <c r="E12" s="1247"/>
      <c r="F12" s="1247"/>
      <c r="G12" s="1247"/>
      <c r="H12" s="1247"/>
      <c r="L12" s="2282"/>
      <c r="M12" s="2282"/>
      <c r="N12" s="1167"/>
      <c r="O12" s="253"/>
      <c r="P12" s="253"/>
      <c r="Q12" s="253"/>
      <c r="R12" s="253"/>
      <c r="S12" s="253"/>
      <c r="T12" s="253"/>
      <c r="U12" s="253"/>
      <c r="V12" s="197" t="s">
        <v>1490</v>
      </c>
      <c r="Y12" s="295"/>
      <c r="Z12" s="295"/>
      <c r="AA12" s="295"/>
      <c r="AB12" s="295"/>
      <c r="AC12" s="295"/>
    </row>
    <row r="13" spans="1:29" ht="14.25" customHeight="1">
      <c r="J13" s="304"/>
      <c r="K13" s="304"/>
      <c r="L13" s="1156"/>
      <c r="M13" s="289"/>
      <c r="N13" s="1115"/>
      <c r="O13" s="2232"/>
      <c r="P13" s="2232"/>
      <c r="Q13" s="2232"/>
      <c r="R13" s="2232"/>
      <c r="S13" s="2232"/>
      <c r="T13" s="2232"/>
      <c r="U13" s="2232"/>
      <c r="V13" s="2232"/>
    </row>
    <row r="14" spans="1:29" ht="14.25" customHeight="1">
      <c r="J14" s="304"/>
      <c r="K14" s="304"/>
      <c r="L14" s="2007" t="s">
        <v>292</v>
      </c>
      <c r="M14" s="2007"/>
      <c r="N14" s="2007"/>
      <c r="O14" s="2007"/>
      <c r="P14" s="2007"/>
      <c r="Q14" s="2007"/>
      <c r="R14" s="2007"/>
      <c r="S14" s="2007"/>
      <c r="T14" s="2007"/>
      <c r="U14" s="2007"/>
      <c r="V14" s="2007"/>
      <c r="W14" s="2007"/>
      <c r="X14" s="2007" t="s">
        <v>293</v>
      </c>
    </row>
    <row r="15" spans="1:29" ht="14.25" customHeight="1">
      <c r="J15" s="304"/>
      <c r="K15" s="304"/>
      <c r="L15" s="2233" t="s">
        <v>87</v>
      </c>
      <c r="M15" s="2097" t="s">
        <v>1491</v>
      </c>
      <c r="N15" s="219"/>
      <c r="O15" s="2234" t="s">
        <v>1556</v>
      </c>
      <c r="P15" s="2235"/>
      <c r="Q15" s="2235"/>
      <c r="R15" s="2235"/>
      <c r="S15" s="2235"/>
      <c r="T15" s="2235"/>
      <c r="U15" s="2236"/>
      <c r="V15" s="2237" t="s">
        <v>1493</v>
      </c>
      <c r="W15" s="2240" t="s">
        <v>1557</v>
      </c>
      <c r="X15" s="2007"/>
    </row>
    <row r="16" spans="1:29" ht="33.75" customHeight="1">
      <c r="J16" s="304"/>
      <c r="K16" s="304"/>
      <c r="L16" s="2233"/>
      <c r="M16" s="2097"/>
      <c r="N16" s="924"/>
      <c r="O16" s="2066" t="s">
        <v>1496</v>
      </c>
      <c r="P16" s="2066" t="s">
        <v>1497</v>
      </c>
      <c r="Q16" s="1989" t="s">
        <v>1498</v>
      </c>
      <c r="R16" s="1988"/>
      <c r="S16" s="1989" t="s">
        <v>1517</v>
      </c>
      <c r="T16" s="1994"/>
      <c r="U16" s="1988"/>
      <c r="V16" s="2238"/>
      <c r="W16" s="2241"/>
      <c r="X16" s="2007"/>
    </row>
    <row r="17" spans="1:29" ht="33.75" customHeight="1">
      <c r="A17" s="1249" t="s">
        <v>135</v>
      </c>
      <c r="B17" s="1249" t="s">
        <v>136</v>
      </c>
      <c r="C17" s="1249" t="s">
        <v>137</v>
      </c>
      <c r="D17" s="1249" t="s">
        <v>138</v>
      </c>
      <c r="E17" s="1249"/>
      <c r="J17" s="304"/>
      <c r="K17" s="304"/>
      <c r="L17" s="2233"/>
      <c r="M17" s="2097"/>
      <c r="N17" s="220"/>
      <c r="O17" s="2122"/>
      <c r="P17" s="2122"/>
      <c r="Q17" s="1090" t="s">
        <v>1507</v>
      </c>
      <c r="R17" s="1090" t="s">
        <v>1508</v>
      </c>
      <c r="S17" s="1172" t="s">
        <v>1509</v>
      </c>
      <c r="T17" s="2103" t="s">
        <v>1510</v>
      </c>
      <c r="U17" s="2117"/>
      <c r="V17" s="2239"/>
      <c r="W17" s="2242"/>
      <c r="X17" s="2007"/>
    </row>
    <row r="18" spans="1:29" s="1708" customFormat="1" ht="11.25" customHeight="1">
      <c r="A18" s="1249"/>
      <c r="B18" s="1249"/>
      <c r="C18" s="1249"/>
      <c r="D18" s="1249"/>
      <c r="E18" s="1249"/>
      <c r="F18" s="1241"/>
      <c r="G18" s="1241"/>
      <c r="H18" s="1241"/>
      <c r="I18" s="1117"/>
      <c r="J18" s="1118"/>
      <c r="K18" s="1133">
        <v>1</v>
      </c>
      <c r="L18" s="1158" t="s">
        <v>108</v>
      </c>
      <c r="M18" s="1134" t="s">
        <v>109</v>
      </c>
      <c r="N18" s="1116" t="str">
        <f ca="1">OFFSET(N18,0,-1)</f>
        <v>2</v>
      </c>
      <c r="O18" s="1169">
        <f ca="1">OFFSET(O18,0,-1)+1</f>
        <v>3</v>
      </c>
      <c r="P18" s="1169"/>
      <c r="Q18" s="1169">
        <f ca="1">OFFSET(Q18,0,-1)+1</f>
        <v>1</v>
      </c>
      <c r="R18" s="1169">
        <f ca="1">OFFSET(R18,0,-1)+1</f>
        <v>2</v>
      </c>
      <c r="S18" s="1169">
        <f ca="1">OFFSET(S18,0,-1)+1</f>
        <v>3</v>
      </c>
      <c r="T18" s="2231">
        <f ca="1">OFFSET(T18,0,-1)+1</f>
        <v>4</v>
      </c>
      <c r="U18" s="2231"/>
      <c r="V18" s="1169">
        <f ca="1">OFFSET(V18,0,-2)+1</f>
        <v>5</v>
      </c>
      <c r="W18" s="1116">
        <f ca="1">OFFSET(W18,0,-1)</f>
        <v>5</v>
      </c>
      <c r="X18" s="1169">
        <f ca="1">OFFSET(X18,0,-1)+1</f>
        <v>6</v>
      </c>
      <c r="Y18" s="439"/>
      <c r="Z18" s="439"/>
      <c r="AA18" s="439"/>
      <c r="AB18" s="439"/>
      <c r="AC18" s="439"/>
    </row>
    <row r="19" spans="1:29" ht="21" customHeight="1">
      <c r="A19" s="1242" t="s">
        <v>171</v>
      </c>
      <c r="B19" s="1242" t="s">
        <v>172</v>
      </c>
      <c r="C19" s="1242" t="s">
        <v>173</v>
      </c>
      <c r="D19" s="1242" t="s">
        <v>174</v>
      </c>
      <c r="E19" s="1242"/>
      <c r="F19" s="1244"/>
      <c r="G19" s="1244"/>
      <c r="H19" s="1244"/>
      <c r="I19" s="285"/>
      <c r="J19" s="284"/>
      <c r="K19" s="279"/>
      <c r="L19" s="1173">
        <f>INDEX(PT_DIFFERENTIATION_NUM_NTAR,MATCH(A19,PT_DIFFERENTIATION_NTAR_ID,0))</f>
        <v>0</v>
      </c>
      <c r="M19" s="216" t="s">
        <v>124</v>
      </c>
      <c r="N19" s="218"/>
      <c r="O19" s="2277" t="str">
        <f>INDEX(PT_DIFFERENTIATION_NTAR,MATCH(A19,PT_DIFFERENTIATION_NTAR_ID,0))</f>
        <v/>
      </c>
      <c r="P19" s="2277"/>
      <c r="Q19" s="2277"/>
      <c r="R19" s="2277"/>
      <c r="S19" s="2277"/>
      <c r="T19" s="2277"/>
      <c r="U19" s="2277"/>
      <c r="V19" s="2277"/>
      <c r="W19" s="2277"/>
      <c r="X19" s="1138" t="s">
        <v>1462</v>
      </c>
      <c r="Z19" s="428"/>
      <c r="AA19" s="428" t="str">
        <f t="shared" ref="AA19:AA32" si="0">IF(M19="","",M19)</f>
        <v>Наименование тарифа</v>
      </c>
      <c r="AB19" s="428"/>
      <c r="AC19" s="428"/>
    </row>
    <row r="20" spans="1:29" ht="21" customHeight="1">
      <c r="A20" s="1242" t="s">
        <v>171</v>
      </c>
      <c r="B20" s="1242" t="s">
        <v>172</v>
      </c>
      <c r="C20" s="1242" t="s">
        <v>173</v>
      </c>
      <c r="D20" s="1242" t="s">
        <v>174</v>
      </c>
      <c r="E20" s="1242"/>
      <c r="F20" s="1244"/>
      <c r="G20" s="1244"/>
      <c r="H20" s="1244"/>
      <c r="I20" s="1170"/>
      <c r="J20" s="276"/>
      <c r="K20" s="277"/>
      <c r="L20" s="1173" t="str">
        <f>INDEX(PT_DIFFERENTIATION_NUM_TER,MATCH(B19,PT_DIFFERENTIATION_TER_ID,0))</f>
        <v>.</v>
      </c>
      <c r="M20" s="228" t="s">
        <v>1463</v>
      </c>
      <c r="N20" s="218"/>
      <c r="O20" s="2277" t="str">
        <f>INDEX(PT_DIFFERENTIATION_TER,MATCH(B19,PT_DIFFERENTIATION_TER_ID,0))</f>
        <v/>
      </c>
      <c r="P20" s="2277"/>
      <c r="Q20" s="2277"/>
      <c r="R20" s="2277"/>
      <c r="S20" s="2277"/>
      <c r="T20" s="2277"/>
      <c r="U20" s="2277"/>
      <c r="V20" s="2277"/>
      <c r="W20" s="2277"/>
      <c r="X20" s="1138" t="s">
        <v>1464</v>
      </c>
      <c r="Z20" s="428"/>
      <c r="AA20" s="428" t="str">
        <f t="shared" si="0"/>
        <v>Территория действия тарифа</v>
      </c>
      <c r="AB20" s="428"/>
      <c r="AC20" s="428"/>
    </row>
    <row r="21" spans="1:29" ht="22.5" customHeight="1">
      <c r="A21" s="1242" t="s">
        <v>171</v>
      </c>
      <c r="B21" s="1242" t="s">
        <v>172</v>
      </c>
      <c r="C21" s="1242" t="s">
        <v>173</v>
      </c>
      <c r="D21" s="1242" t="s">
        <v>174</v>
      </c>
      <c r="E21" s="1242"/>
      <c r="F21" s="1244"/>
      <c r="G21" s="1244"/>
      <c r="H21" s="1244"/>
      <c r="I21" s="278"/>
      <c r="J21" s="276"/>
      <c r="K21" s="277"/>
      <c r="L21" s="1173" t="str">
        <f>INDEX(PT_DIFFERENTIATION_NUM_CS,MATCH(C19,PT_DIFFERENTIATION_CS_ID,0))</f>
        <v>..</v>
      </c>
      <c r="M21" s="229" t="s">
        <v>1465</v>
      </c>
      <c r="N21" s="218"/>
      <c r="O21" s="2277" t="str">
        <f>INDEX(PT_DIFFERENTIATION_CS,MATCH(C19,PT_DIFFERENTIATION_CS_ID,0))</f>
        <v/>
      </c>
      <c r="P21" s="2277"/>
      <c r="Q21" s="2277"/>
      <c r="R21" s="2277"/>
      <c r="S21" s="2277"/>
      <c r="T21" s="2277"/>
      <c r="U21" s="2277"/>
      <c r="V21" s="2277"/>
      <c r="W21" s="2277"/>
      <c r="X21" s="1138" t="s">
        <v>1466</v>
      </c>
      <c r="Z21" s="428"/>
      <c r="AA21" s="428" t="str">
        <f t="shared" si="0"/>
        <v xml:space="preserve">Наименование системы теплоснабжения </v>
      </c>
      <c r="AB21" s="428"/>
      <c r="AC21" s="428"/>
    </row>
    <row r="22" spans="1:29" ht="21" customHeight="1">
      <c r="A22" s="1242" t="s">
        <v>171</v>
      </c>
      <c r="B22" s="1242" t="s">
        <v>172</v>
      </c>
      <c r="C22" s="1242" t="s">
        <v>173</v>
      </c>
      <c r="D22" s="1242" t="s">
        <v>174</v>
      </c>
      <c r="E22" s="1242"/>
      <c r="F22" s="1244"/>
      <c r="G22" s="1244"/>
      <c r="H22" s="1244"/>
      <c r="I22" s="278"/>
      <c r="J22" s="276"/>
      <c r="K22" s="277"/>
      <c r="L22" s="1173" t="str">
        <f>INDEX(PT_DIFFERENTIATION_NUM_IST_TE,MATCH(D19,PT_DIFFERENTIATION_IST_TE_ID,0))</f>
        <v>...</v>
      </c>
      <c r="M22" s="230" t="s">
        <v>1467</v>
      </c>
      <c r="N22" s="218"/>
      <c r="O22" s="2277" t="str">
        <f>INDEX(PT_DIFFERENTIATION_IST_TE,MATCH(D19,PT_DIFFERENTIATION_IST_TE_ID,0))</f>
        <v/>
      </c>
      <c r="P22" s="2277"/>
      <c r="Q22" s="2277"/>
      <c r="R22" s="2277"/>
      <c r="S22" s="2277"/>
      <c r="T22" s="2277"/>
      <c r="U22" s="2277"/>
      <c r="V22" s="2277"/>
      <c r="W22" s="2277"/>
      <c r="X22" s="1138" t="s">
        <v>1468</v>
      </c>
      <c r="Z22" s="428"/>
      <c r="AA22" s="428" t="str">
        <f t="shared" si="0"/>
        <v xml:space="preserve">Источник тепловой энергии  </v>
      </c>
      <c r="AB22" s="428"/>
      <c r="AC22" s="428"/>
    </row>
    <row r="23" spans="1:29" ht="94.5" customHeight="1">
      <c r="A23" s="1242" t="s">
        <v>171</v>
      </c>
      <c r="B23" s="1242" t="s">
        <v>172</v>
      </c>
      <c r="C23" s="1242" t="s">
        <v>173</v>
      </c>
      <c r="D23" s="1242" t="s">
        <v>174</v>
      </c>
      <c r="E23" s="1242"/>
      <c r="F23" s="2115" t="str">
        <f>L22&amp;".1"</f>
        <v>....1</v>
      </c>
      <c r="I23" s="2143">
        <v>1</v>
      </c>
      <c r="J23" s="1171"/>
      <c r="K23" s="280"/>
      <c r="L23" s="1173" t="str">
        <f>$F$23</f>
        <v>....1</v>
      </c>
      <c r="M23" s="203" t="s">
        <v>1470</v>
      </c>
      <c r="N23" s="218"/>
      <c r="O23" s="2278"/>
      <c r="P23" s="2278"/>
      <c r="Q23" s="2278"/>
      <c r="R23" s="2278"/>
      <c r="S23" s="2278"/>
      <c r="T23" s="2278"/>
      <c r="U23" s="2278"/>
      <c r="V23" s="2278"/>
      <c r="W23" s="2278"/>
      <c r="X23" s="1138" t="s">
        <v>1471</v>
      </c>
      <c r="Z23" s="428"/>
      <c r="AA23" s="428" t="str">
        <f t="shared" si="0"/>
        <v>Схема подключения теплопотребляющей установки к коллектору источника тепловой энергии</v>
      </c>
      <c r="AB23" s="428"/>
      <c r="AC23" s="428"/>
    </row>
    <row r="24" spans="1:29" ht="84" customHeight="1">
      <c r="A24" s="1242" t="s">
        <v>171</v>
      </c>
      <c r="B24" s="1242" t="s">
        <v>172</v>
      </c>
      <c r="C24" s="1242" t="s">
        <v>173</v>
      </c>
      <c r="D24" s="1242" t="s">
        <v>174</v>
      </c>
      <c r="E24" s="1242"/>
      <c r="F24" s="2115"/>
      <c r="G24" s="2115" t="str">
        <f>F23&amp;".1"</f>
        <v>....1.1</v>
      </c>
      <c r="I24" s="2143"/>
      <c r="J24" s="2143">
        <v>1</v>
      </c>
      <c r="K24" s="281"/>
      <c r="L24" s="1173" t="str">
        <f>$G$24</f>
        <v>....1.1</v>
      </c>
      <c r="M24" s="204" t="s">
        <v>1473</v>
      </c>
      <c r="N24" s="218"/>
      <c r="O24" s="2279"/>
      <c r="P24" s="2280"/>
      <c r="Q24" s="2280"/>
      <c r="R24" s="2280"/>
      <c r="S24" s="2280"/>
      <c r="T24" s="2280"/>
      <c r="U24" s="2280"/>
      <c r="V24" s="2280"/>
      <c r="W24" s="2281"/>
      <c r="X24" s="1138" t="s">
        <v>1474</v>
      </c>
      <c r="Z24" s="428"/>
      <c r="AA24" s="428" t="str">
        <f t="shared" si="0"/>
        <v>Группа потребителей</v>
      </c>
      <c r="AB24" s="428"/>
      <c r="AC24" s="428"/>
    </row>
    <row r="25" spans="1:29" ht="11.25" customHeight="1">
      <c r="A25" s="1242" t="s">
        <v>171</v>
      </c>
      <c r="B25" s="1242" t="s">
        <v>172</v>
      </c>
      <c r="C25" s="1242" t="s">
        <v>173</v>
      </c>
      <c r="D25" s="1242" t="s">
        <v>174</v>
      </c>
      <c r="E25" s="1242"/>
      <c r="F25" s="2115"/>
      <c r="G25" s="2115"/>
      <c r="H25" s="2115" t="str">
        <f>G24&amp;".1"</f>
        <v>....1.1.1</v>
      </c>
      <c r="I25" s="2143"/>
      <c r="J25" s="2143"/>
      <c r="K25" s="281">
        <v>1</v>
      </c>
      <c r="L25" s="1173" t="str">
        <f>$H$25</f>
        <v>....1.1.1</v>
      </c>
      <c r="M25" s="1139"/>
      <c r="N25" s="218"/>
      <c r="O25" s="1664"/>
      <c r="P25" s="1665"/>
      <c r="Q25" s="1664"/>
      <c r="R25" s="1666"/>
      <c r="S25" s="2225"/>
      <c r="T25" s="2017" t="s">
        <v>62</v>
      </c>
      <c r="U25" s="2225"/>
      <c r="V25" s="2017" t="s">
        <v>55</v>
      </c>
      <c r="W25" s="1665"/>
      <c r="X25" s="2243" t="s">
        <v>1476</v>
      </c>
      <c r="Y25" s="439" t="e">
        <f ca="1">STRCHECKDATE(O26:W26)</f>
        <v>#NAME?</v>
      </c>
      <c r="Z25" s="428"/>
      <c r="AA25" s="428" t="str">
        <f t="shared" si="0"/>
        <v/>
      </c>
      <c r="AB25" s="428"/>
      <c r="AC25" s="428"/>
    </row>
    <row r="26" spans="1:29" ht="11.25" customHeight="1">
      <c r="A26" s="1242" t="s">
        <v>171</v>
      </c>
      <c r="B26" s="1242" t="s">
        <v>172</v>
      </c>
      <c r="C26" s="1242" t="s">
        <v>173</v>
      </c>
      <c r="D26" s="1242" t="s">
        <v>174</v>
      </c>
      <c r="E26" s="1242"/>
      <c r="F26" s="2115"/>
      <c r="G26" s="2115"/>
      <c r="H26" s="2115"/>
      <c r="I26" s="2143"/>
      <c r="J26" s="2143"/>
      <c r="K26" s="281"/>
      <c r="L26" s="1174"/>
      <c r="M26" s="218"/>
      <c r="N26" s="218"/>
      <c r="O26" s="1665"/>
      <c r="P26" s="1665"/>
      <c r="Q26" s="1665"/>
      <c r="R26" s="1667" t="str">
        <f>S25&amp;"-"&amp;U25</f>
        <v>-</v>
      </c>
      <c r="S26" s="2226"/>
      <c r="T26" s="2017"/>
      <c r="U26" s="2226"/>
      <c r="V26" s="2017"/>
      <c r="W26" s="1665"/>
      <c r="X26" s="2244"/>
      <c r="Z26" s="428"/>
      <c r="AA26" s="428" t="str">
        <f t="shared" si="0"/>
        <v/>
      </c>
      <c r="AB26" s="428"/>
      <c r="AC26" s="428"/>
    </row>
    <row r="27" spans="1:29" ht="15" customHeight="1">
      <c r="A27" s="1242" t="s">
        <v>171</v>
      </c>
      <c r="B27" s="1242" t="s">
        <v>172</v>
      </c>
      <c r="C27" s="1242" t="s">
        <v>173</v>
      </c>
      <c r="D27" s="1242" t="s">
        <v>174</v>
      </c>
      <c r="E27" s="1242"/>
      <c r="F27" s="2115"/>
      <c r="G27" s="2115"/>
      <c r="I27" s="2143"/>
      <c r="J27" s="2143"/>
      <c r="K27" s="280"/>
      <c r="L27" s="1159"/>
      <c r="M27" s="206" t="s">
        <v>1477</v>
      </c>
      <c r="N27" s="294"/>
      <c r="O27" s="294"/>
      <c r="P27" s="294"/>
      <c r="Q27" s="294"/>
      <c r="R27" s="294"/>
      <c r="S27" s="294"/>
      <c r="T27" s="294"/>
      <c r="U27" s="294"/>
      <c r="V27" s="294"/>
      <c r="W27" s="251"/>
      <c r="X27" s="2245"/>
      <c r="Z27" s="428"/>
      <c r="AA27" s="428" t="str">
        <f t="shared" si="0"/>
        <v>Добавить вид теплоносителя (параметры теплоносителя)</v>
      </c>
      <c r="AB27" s="428"/>
      <c r="AC27" s="428"/>
    </row>
    <row r="28" spans="1:29" ht="15" customHeight="1">
      <c r="A28" s="1242" t="s">
        <v>171</v>
      </c>
      <c r="B28" s="1242" t="s">
        <v>172</v>
      </c>
      <c r="C28" s="1242" t="s">
        <v>173</v>
      </c>
      <c r="D28" s="1242" t="s">
        <v>174</v>
      </c>
      <c r="E28" s="1242"/>
      <c r="F28" s="2115"/>
      <c r="I28" s="2143"/>
      <c r="J28" s="1171"/>
      <c r="K28" s="280"/>
      <c r="L28" s="1159"/>
      <c r="M28" s="205" t="s">
        <v>1478</v>
      </c>
      <c r="N28" s="294"/>
      <c r="O28" s="294"/>
      <c r="P28" s="294"/>
      <c r="Q28" s="294"/>
      <c r="R28" s="294"/>
      <c r="S28" s="294"/>
      <c r="T28" s="294"/>
      <c r="U28" s="294"/>
      <c r="V28" s="293"/>
      <c r="W28" s="294"/>
      <c r="X28" s="221"/>
      <c r="Z28" s="428"/>
      <c r="AA28" s="428" t="str">
        <f t="shared" si="0"/>
        <v>Добавить группу потребителей</v>
      </c>
      <c r="AB28" s="428"/>
      <c r="AC28" s="428"/>
    </row>
    <row r="29" spans="1:29" ht="14.25" customHeight="1">
      <c r="A29" s="1242" t="s">
        <v>171</v>
      </c>
      <c r="B29" s="1242" t="s">
        <v>172</v>
      </c>
      <c r="C29" s="1242" t="s">
        <v>173</v>
      </c>
      <c r="D29" s="1242" t="s">
        <v>174</v>
      </c>
      <c r="E29" s="1242"/>
      <c r="F29" s="1244"/>
      <c r="G29" s="1244"/>
      <c r="H29" s="464"/>
      <c r="I29" s="284"/>
      <c r="J29" s="303"/>
      <c r="K29" s="279"/>
      <c r="L29" s="1159"/>
      <c r="M29" s="291" t="s">
        <v>1479</v>
      </c>
      <c r="N29" s="294"/>
      <c r="O29" s="294"/>
      <c r="P29" s="294"/>
      <c r="Q29" s="294"/>
      <c r="R29" s="294"/>
      <c r="S29" s="294"/>
      <c r="T29" s="294"/>
      <c r="U29" s="294"/>
      <c r="V29" s="293"/>
      <c r="W29" s="294"/>
      <c r="X29" s="221"/>
      <c r="Z29" s="428"/>
      <c r="AA29" s="428" t="str">
        <f t="shared" si="0"/>
        <v>Добавить схему подключения</v>
      </c>
      <c r="AB29" s="428"/>
      <c r="AC29" s="428"/>
    </row>
    <row r="30" spans="1:29" ht="14.25" customHeight="1">
      <c r="A30" s="1242" t="s">
        <v>171</v>
      </c>
      <c r="B30" s="1242" t="s">
        <v>172</v>
      </c>
      <c r="C30" s="1242" t="s">
        <v>173</v>
      </c>
      <c r="D30" s="1242"/>
      <c r="E30" s="1242" t="s">
        <v>1558</v>
      </c>
      <c r="F30" s="1244"/>
      <c r="G30" s="1244"/>
      <c r="H30" s="464"/>
      <c r="I30" s="284"/>
      <c r="J30" s="303"/>
      <c r="K30" s="279"/>
      <c r="L30" s="1160"/>
      <c r="M30" s="1149"/>
      <c r="N30" s="1150"/>
      <c r="O30" s="1150"/>
      <c r="P30" s="1150"/>
      <c r="Q30" s="1150"/>
      <c r="R30" s="1150"/>
      <c r="S30" s="1150"/>
      <c r="T30" s="1150"/>
      <c r="U30" s="1150"/>
      <c r="V30" s="1151"/>
      <c r="W30" s="1150"/>
      <c r="X30" s="1152"/>
      <c r="Z30" s="428"/>
      <c r="AA30" s="428" t="str">
        <f t="shared" si="0"/>
        <v/>
      </c>
      <c r="AB30" s="428"/>
      <c r="AC30" s="428"/>
    </row>
    <row r="31" spans="1:29" ht="14.25" customHeight="1">
      <c r="A31" s="1242" t="s">
        <v>171</v>
      </c>
      <c r="B31" s="1242" t="s">
        <v>172</v>
      </c>
      <c r="C31" s="1242"/>
      <c r="D31" s="1242"/>
      <c r="E31" s="1242" t="s">
        <v>1559</v>
      </c>
      <c r="F31" s="1380"/>
      <c r="G31" s="1380"/>
      <c r="H31" s="464"/>
      <c r="I31" s="282"/>
      <c r="J31" s="303"/>
      <c r="K31" s="283"/>
      <c r="L31" s="1160"/>
      <c r="M31" s="1153"/>
      <c r="N31" s="1150"/>
      <c r="O31" s="1150"/>
      <c r="P31" s="1150"/>
      <c r="Q31" s="1150"/>
      <c r="R31" s="1150"/>
      <c r="S31" s="1150"/>
      <c r="T31" s="1150"/>
      <c r="U31" s="1150"/>
      <c r="V31" s="1151"/>
      <c r="W31" s="1150"/>
      <c r="X31" s="1152"/>
      <c r="Z31" s="428"/>
      <c r="AA31" s="428" t="str">
        <f t="shared" si="0"/>
        <v/>
      </c>
      <c r="AB31" s="428"/>
      <c r="AC31" s="428"/>
    </row>
    <row r="32" spans="1:29" ht="14.25" customHeight="1">
      <c r="A32" s="1242" t="s">
        <v>1560</v>
      </c>
      <c r="B32" s="1242"/>
      <c r="C32" s="1242"/>
      <c r="D32" s="1242"/>
      <c r="E32" s="1242" t="s">
        <v>103</v>
      </c>
      <c r="F32" s="1380"/>
      <c r="G32" s="1380"/>
      <c r="H32" s="464"/>
      <c r="I32" s="284"/>
      <c r="J32" s="303"/>
      <c r="K32" s="279"/>
      <c r="L32" s="1160"/>
      <c r="M32" s="1154"/>
      <c r="N32" s="1150"/>
      <c r="O32" s="1150"/>
      <c r="P32" s="1150"/>
      <c r="Q32" s="1150"/>
      <c r="R32" s="1150"/>
      <c r="S32" s="1150"/>
      <c r="T32" s="1150"/>
      <c r="U32" s="1150"/>
      <c r="V32" s="1151"/>
      <c r="W32" s="1150"/>
      <c r="X32" s="1152"/>
      <c r="Z32" s="428"/>
      <c r="AA32" s="428" t="str">
        <f t="shared" si="0"/>
        <v/>
      </c>
      <c r="AB32" s="428"/>
      <c r="AC32" s="428"/>
    </row>
    <row r="33" spans="1:29" s="1969" customFormat="1" ht="11.25" customHeight="1">
      <c r="A33" s="1242"/>
      <c r="B33" s="1242"/>
      <c r="C33" s="1242"/>
      <c r="D33" s="1242"/>
      <c r="E33" s="1242" t="s">
        <v>1441</v>
      </c>
      <c r="F33" s="1381"/>
      <c r="G33" s="1382"/>
      <c r="H33" s="464"/>
      <c r="L33" s="1161"/>
      <c r="M33" s="1155"/>
      <c r="N33" s="1150"/>
      <c r="O33" s="1150"/>
      <c r="P33" s="1150"/>
      <c r="Q33" s="1150"/>
      <c r="R33" s="1150"/>
      <c r="S33" s="1150"/>
      <c r="T33" s="1150"/>
      <c r="U33" s="1150"/>
      <c r="V33" s="1151"/>
      <c r="W33" s="1150"/>
      <c r="X33" s="1152"/>
      <c r="Y33" s="309"/>
      <c r="Z33" s="309"/>
      <c r="AA33" s="309"/>
      <c r="AB33" s="309"/>
      <c r="AC33" s="309"/>
    </row>
    <row r="34" spans="1:29" ht="11.25" customHeight="1">
      <c r="F34" s="1034"/>
      <c r="G34" s="1034"/>
      <c r="H34" s="464"/>
      <c r="I34" s="1029"/>
      <c r="J34" s="1029"/>
      <c r="K34" s="1029"/>
      <c r="Y34" s="1029"/>
      <c r="Z34" s="1029"/>
      <c r="AA34" s="1029"/>
      <c r="AB34" s="1029"/>
      <c r="AC34" s="1029"/>
    </row>
    <row r="35" spans="1:29" ht="27" customHeight="1">
      <c r="H35" s="464"/>
      <c r="L35" s="1168" t="s">
        <v>1511</v>
      </c>
      <c r="M35" s="2220" t="s">
        <v>1518</v>
      </c>
      <c r="N35" s="2220"/>
      <c r="O35" s="2220"/>
      <c r="P35" s="2220"/>
      <c r="Q35" s="2220"/>
      <c r="R35" s="2220"/>
      <c r="S35" s="2220"/>
      <c r="T35" s="2220"/>
      <c r="U35" s="2220"/>
      <c r="V35" s="2220"/>
      <c r="W35" s="2220"/>
      <c r="X35" s="2220"/>
    </row>
    <row r="36" spans="1:29" ht="104.25" customHeight="1">
      <c r="H36" s="464"/>
      <c r="I36" s="1187"/>
      <c r="M36" s="2220" t="s">
        <v>1513</v>
      </c>
      <c r="N36" s="2220"/>
      <c r="O36" s="2220"/>
      <c r="P36" s="2220"/>
      <c r="Q36" s="2220"/>
      <c r="R36" s="2220"/>
      <c r="S36" s="2220"/>
      <c r="T36" s="2220"/>
      <c r="U36" s="2220"/>
      <c r="V36" s="2220"/>
      <c r="W36" s="2220"/>
      <c r="X36" s="2220"/>
    </row>
    <row r="37" spans="1:29" ht="14.25" customHeight="1">
      <c r="H37" s="464"/>
    </row>
    <row r="38" spans="1:29" ht="14.25" customHeight="1">
      <c r="H38" s="464"/>
    </row>
    <row r="39" spans="1:29" ht="14.25" customHeight="1">
      <c r="H39" s="464"/>
    </row>
    <row r="40" spans="1:29" ht="14.25" customHeight="1">
      <c r="H40" s="464"/>
    </row>
  </sheetData>
  <sheetProtection formatColumns="0" formatRows="0" insertRows="0" deleteColumns="0" deleteRows="0" sort="0" autoFilter="0"/>
  <mergeCells count="39">
    <mergeCell ref="X25:X27"/>
    <mergeCell ref="M35:X35"/>
    <mergeCell ref="M36:X36"/>
    <mergeCell ref="H25:H26"/>
    <mergeCell ref="S25:S26"/>
    <mergeCell ref="T25:T26"/>
    <mergeCell ref="U25:U26"/>
    <mergeCell ref="V25:V26"/>
    <mergeCell ref="X14:X17"/>
    <mergeCell ref="L15:L17"/>
    <mergeCell ref="M15:M17"/>
    <mergeCell ref="O15:U15"/>
    <mergeCell ref="V15:V17"/>
    <mergeCell ref="W15:W17"/>
    <mergeCell ref="O16:O17"/>
    <mergeCell ref="P16:P17"/>
    <mergeCell ref="Q16:R16"/>
    <mergeCell ref="S16:U16"/>
    <mergeCell ref="T17:U17"/>
    <mergeCell ref="L5:U5"/>
    <mergeCell ref="L6:U6"/>
    <mergeCell ref="O8:U8"/>
    <mergeCell ref="O9:U9"/>
    <mergeCell ref="O10:U10"/>
    <mergeCell ref="O11:U11"/>
    <mergeCell ref="L12:M12"/>
    <mergeCell ref="O13:V13"/>
    <mergeCell ref="L14:W14"/>
    <mergeCell ref="T18:U18"/>
    <mergeCell ref="O19:W19"/>
    <mergeCell ref="O20:W20"/>
    <mergeCell ref="O21:W21"/>
    <mergeCell ref="O22:W22"/>
    <mergeCell ref="F23:F28"/>
    <mergeCell ref="I23:I28"/>
    <mergeCell ref="O23:W23"/>
    <mergeCell ref="G24:G27"/>
    <mergeCell ref="J24:J27"/>
    <mergeCell ref="O24:W24"/>
  </mergeCells>
  <dataValidations count="8">
    <dataValidation allowBlank="1" sqref="L131099:X131105 L196635:X196641 L262171:X262177 L327707:X327713 L393243:X393249 L458779:X458785 L524315:X524321 L589851:X589857 L655387:X655393 L720923:X720929 L786459:X786465 L851995:X852001 L917531:X917537 L983067:X983073 L65563:X65569"/>
    <dataValidation allowBlank="1" promptTitle="checkPeriodRange" sqref="R26 R65562 R131098 R196634 R262170 R327706 R393242 R458778 R524314 R589850 R655386 R720922 R786458 R851994 R917530 R983066"/>
    <dataValidation allowBlank="1" showInputMessage="1" showErrorMessage="1" prompt="Для выбора выполните двойной щелчок левой клавиши мыши по соответствующей ячейке." sqref="T65561 T131097 T196633 T262169 T327705 T393241 T458777 T524313 T589849 T655385 T720921 T786457 T851993 T917529 T983065 V589849 V655385 V720921 V786457 V851993 V917529 V983065 V65561 V131097 V458777 V196633 V262169 V327705 V393241 V25 T25 V524313"/>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S65561 S131097 S196633 S262169 S327705 S393241 S458777 S524313 S589849 S655385 S720921 S786457 S851993 S917529 S983065 U65561 U131097 U196633 U262169 U327705 U393241 U458777 U524313 U589849 U655385 U720921 U786457 U851993 U917529 U983065 U25 S25"/>
    <dataValidation type="list" allowBlank="1" showInputMessage="1" showErrorMessage="1" errorTitle="Ошибка" error="Выберите значение из списка" sqref="M65561 M131097 M196633 M262169 M327705 M393241 M458777 M524313 M589849 M655385 M720921 M786457 M851993 M917529 M983065">
      <formula1>kind_of_heat_transfer</formula1>
    </dataValidation>
    <dataValidation type="list" allowBlank="1" showInputMessage="1" errorTitle="Ошибка" error="Выберите значение из списка" prompt="Выберите значение из списка" sqref="O983064:W983064 O65560:W65560 O131096:W131096 O196632:W196632 O262168:W262168 O327704:W327704 O393240:W393240 O458776:W458776 O524312:W524312 O589848:W589848 O655384:W655384 O720920:W720920 O786456:W786456 O851992:W851992 O917528:W917528">
      <formula1>kind_of_cons</formula1>
    </dataValidation>
    <dataValidation type="textLength" operator="lessThanOrEqual" allowBlank="1" showInputMessage="1" showErrorMessage="1" errorTitle="Ошибка" error="Допускается ввод не более 900 символов!" sqref="X65555:X65562 X131091:X131098 X196627:X196634 X262163:X262170 X327699:X327706 X393235:X393242 X458771:X458778 X524307:X524314 X589843:X589850 X655379:X655386 X720915:X720922 X786451:X786458 X851987:X851994 X917523:X917530 X983059:X983066">
      <formula1>900</formula1>
    </dataValidation>
    <dataValidation type="list" allowBlank="1" showInputMessage="1" showErrorMessage="1" errorTitle="Ошибка" error="Выберите значение из списка" sqref="O983063:P983063 O65559:P65559 O131095:P131095 O196631:P196631 O262167:P262167 O327703:P327703 O393239:P393239 O458775:P458775 O524311:P524311 O589847:P589847 O655383:P655383 O720919:P720919 O786455:P786455 O851991:P851991 O917527:P917527">
      <formula1>kind_of_scheme_in</formula1>
    </dataValidation>
  </dataValidation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39997558519241921"/>
  </sheetPr>
  <dimension ref="A1:AC40"/>
  <sheetViews>
    <sheetView showGridLines="0" topLeftCell="A4" workbookViewId="0"/>
  </sheetViews>
  <sheetFormatPr defaultColWidth="10.5703125" defaultRowHeight="14.25" customHeight="1"/>
  <cols>
    <col min="1" max="1" width="11.5703125" style="1829" customWidth="1"/>
    <col min="2" max="2" width="10.7109375" style="1829" customWidth="1"/>
    <col min="3" max="3" width="10" style="1829" customWidth="1"/>
    <col min="4" max="4" width="12.85546875" style="1829" customWidth="1"/>
    <col min="5" max="5" width="12.28515625" style="1829" customWidth="1"/>
    <col min="6" max="8" width="12.28515625" style="1720" customWidth="1"/>
    <col min="9" max="9" width="3.7109375" style="1720" customWidth="1"/>
    <col min="10" max="11" width="3.7109375" style="1674" customWidth="1"/>
    <col min="12" max="12" width="12.7109375" style="1713" customWidth="1"/>
    <col min="13" max="13" width="32" style="1829" customWidth="1"/>
    <col min="14" max="14" width="1.7109375" style="1829" customWidth="1"/>
    <col min="15" max="18" width="24.7109375" style="1829" customWidth="1"/>
    <col min="19" max="19" width="11.7109375" style="1829" customWidth="1"/>
    <col min="20" max="20" width="3.7109375" style="1829" customWidth="1"/>
    <col min="21" max="21" width="11.7109375" style="1829" customWidth="1"/>
    <col min="22" max="22" width="8.5703125" style="1829" customWidth="1"/>
    <col min="23" max="23" width="4.7109375" style="1829" customWidth="1"/>
    <col min="24" max="24" width="115.7109375" style="1829" customWidth="1"/>
    <col min="25" max="26" width="10.5703125" style="1755"/>
    <col min="27" max="27" width="11.140625" style="1755" customWidth="1"/>
    <col min="28" max="29" width="10.5703125" style="1755"/>
  </cols>
  <sheetData>
    <row r="1" spans="6:29" ht="14.25" hidden="1" customHeight="1">
      <c r="R1" s="254"/>
      <c r="S1" s="254"/>
    </row>
    <row r="2" spans="6:29" ht="14.25" hidden="1" customHeight="1">
      <c r="V2" s="254"/>
    </row>
    <row r="3" spans="6:29" ht="14.25" hidden="1" customHeight="1"/>
    <row r="4" spans="6:29" ht="14.25" customHeight="1">
      <c r="J4" s="304"/>
      <c r="K4" s="304"/>
      <c r="L4" s="1156"/>
      <c r="M4" s="289"/>
      <c r="N4" s="289"/>
      <c r="O4" s="437"/>
      <c r="P4" s="437"/>
      <c r="Q4" s="437"/>
      <c r="R4" s="437"/>
      <c r="S4" s="437"/>
      <c r="T4" s="437"/>
      <c r="U4" s="437"/>
      <c r="V4" s="437"/>
    </row>
    <row r="5" spans="6:29" ht="64.5" customHeight="1">
      <c r="J5" s="304"/>
      <c r="K5" s="304"/>
      <c r="L5" s="2065" t="s">
        <v>415</v>
      </c>
      <c r="M5" s="2065"/>
      <c r="N5" s="2065"/>
      <c r="O5" s="2065"/>
      <c r="P5" s="2065"/>
      <c r="Q5" s="2065"/>
      <c r="R5" s="2065"/>
      <c r="S5" s="2065"/>
      <c r="T5" s="2065"/>
      <c r="U5" s="2065"/>
      <c r="V5" s="1114"/>
    </row>
    <row r="6" spans="6:29" ht="14.25" customHeight="1">
      <c r="J6" s="304"/>
      <c r="K6" s="304"/>
      <c r="L6" s="2088" t="str">
        <f>IF(org=0,"Не определено",org)</f>
        <v>МУП г. Астрахани "Коммунэнерго"</v>
      </c>
      <c r="M6" s="2088"/>
      <c r="N6" s="2088"/>
      <c r="O6" s="2088"/>
      <c r="P6" s="2088"/>
      <c r="Q6" s="2088"/>
      <c r="R6" s="2088"/>
      <c r="S6" s="2088"/>
      <c r="T6" s="2088"/>
      <c r="U6" s="2088"/>
      <c r="V6" s="1114"/>
    </row>
    <row r="7" spans="6:29" ht="14.25" customHeight="1">
      <c r="J7" s="304"/>
      <c r="K7" s="304"/>
      <c r="L7" s="1156"/>
      <c r="M7" s="289"/>
      <c r="N7" s="289"/>
      <c r="O7" s="248"/>
      <c r="P7" s="248"/>
      <c r="Q7" s="248"/>
      <c r="R7" s="248"/>
      <c r="S7" s="248"/>
      <c r="T7" s="248"/>
      <c r="U7" s="248"/>
      <c r="V7" s="248"/>
      <c r="W7" s="437"/>
    </row>
    <row r="8" spans="6:29" s="1933" customFormat="1" ht="45" customHeight="1">
      <c r="F8" s="1120"/>
      <c r="G8" s="1120"/>
      <c r="H8" s="1120"/>
      <c r="L8" s="1157"/>
      <c r="M8" s="213" t="s">
        <v>38</v>
      </c>
      <c r="N8" s="222"/>
      <c r="O8" s="2214" t="str">
        <f>IF(TITLE_NAME_OR_PR_CHANGE="",IF(TITLE_NAME_OR_PR="","",TITLE_NAME_OR_PR),TITLE_NAME_OR_PR_CHANGE)</f>
        <v/>
      </c>
      <c r="P8" s="2214"/>
      <c r="Q8" s="2214"/>
      <c r="R8" s="2214"/>
      <c r="S8" s="2214"/>
      <c r="T8" s="2214"/>
      <c r="U8" s="2214"/>
      <c r="V8" s="253"/>
      <c r="W8" s="253"/>
      <c r="X8" s="199"/>
      <c r="Y8" s="295"/>
      <c r="Z8" s="295"/>
      <c r="AA8" s="295"/>
      <c r="AB8" s="295"/>
      <c r="AC8" s="295"/>
    </row>
    <row r="9" spans="6:29" s="1933" customFormat="1" ht="22.5" customHeight="1">
      <c r="F9" s="1120"/>
      <c r="G9" s="1120"/>
      <c r="H9" s="1120"/>
      <c r="L9" s="1157"/>
      <c r="M9" s="213" t="s">
        <v>1486</v>
      </c>
      <c r="N9" s="222"/>
      <c r="O9" s="2214" t="str">
        <f>IF(TITLE_DATE_CHANGE_PERIOD="",IF(TITLE_DATE_PR="","",TITLE_DATE_PR),TITLE_DATE_CHANGE_PERIOD)</f>
        <v/>
      </c>
      <c r="P9" s="2214"/>
      <c r="Q9" s="2214"/>
      <c r="R9" s="2214"/>
      <c r="S9" s="2214"/>
      <c r="T9" s="2214"/>
      <c r="U9" s="2214"/>
      <c r="V9" s="253"/>
      <c r="W9" s="253"/>
      <c r="X9" s="199"/>
      <c r="Y9" s="295"/>
      <c r="Z9" s="295"/>
      <c r="AA9" s="295"/>
      <c r="AB9" s="295"/>
      <c r="AC9" s="295"/>
    </row>
    <row r="10" spans="6:29" s="1933" customFormat="1" ht="22.5" customHeight="1">
      <c r="F10" s="1120"/>
      <c r="G10" s="1120"/>
      <c r="H10" s="1120"/>
      <c r="L10" s="1122"/>
      <c r="M10" s="213" t="s">
        <v>1487</v>
      </c>
      <c r="N10" s="222"/>
      <c r="O10" s="2214" t="str">
        <f>IF(TITLE_NUMBER_PR_CHANGE="",IF(TITLE_NUMBER_PR="","",TITLE_NUMBER_PR),TITLE_NUMBER_PR_CHANGE)</f>
        <v/>
      </c>
      <c r="P10" s="2214"/>
      <c r="Q10" s="2214"/>
      <c r="R10" s="2214"/>
      <c r="S10" s="2214"/>
      <c r="T10" s="2214"/>
      <c r="U10" s="2214"/>
      <c r="V10" s="253"/>
      <c r="W10" s="253"/>
      <c r="X10" s="199"/>
      <c r="Y10" s="295"/>
      <c r="Z10" s="295"/>
      <c r="AA10" s="295"/>
      <c r="AB10" s="295"/>
      <c r="AC10" s="295"/>
    </row>
    <row r="11" spans="6:29" s="1933" customFormat="1" ht="22.5" customHeight="1">
      <c r="F11" s="1120"/>
      <c r="G11" s="1120"/>
      <c r="H11" s="1120"/>
      <c r="L11" s="1122"/>
      <c r="M11" s="213" t="s">
        <v>39</v>
      </c>
      <c r="N11" s="222"/>
      <c r="O11" s="2214" t="str">
        <f>IF(TITLE_IST_PUB_CHANGE="",IF(TITLE_IST_PUB="","",TITLE_IST_PUB),TITLE_IST_PUB_CHANGE)</f>
        <v/>
      </c>
      <c r="P11" s="2214"/>
      <c r="Q11" s="2214"/>
      <c r="R11" s="2214"/>
      <c r="S11" s="2214"/>
      <c r="T11" s="2214"/>
      <c r="U11" s="2214"/>
      <c r="V11" s="253"/>
      <c r="W11" s="253"/>
      <c r="X11" s="199"/>
      <c r="Y11" s="295"/>
      <c r="Z11" s="295"/>
      <c r="AA11" s="295"/>
      <c r="AB11" s="295"/>
      <c r="AC11" s="295"/>
    </row>
    <row r="12" spans="6:29" s="1933" customFormat="1" ht="11.25" hidden="1" customHeight="1">
      <c r="F12" s="1120"/>
      <c r="G12" s="1120"/>
      <c r="H12" s="1120"/>
      <c r="L12" s="2282"/>
      <c r="M12" s="2282"/>
      <c r="N12" s="1167"/>
      <c r="O12" s="253"/>
      <c r="P12" s="253"/>
      <c r="Q12" s="253"/>
      <c r="R12" s="253"/>
      <c r="S12" s="253"/>
      <c r="T12" s="253"/>
      <c r="U12" s="253"/>
      <c r="V12" s="197" t="s">
        <v>1490</v>
      </c>
      <c r="Y12" s="295"/>
      <c r="Z12" s="295"/>
      <c r="AA12" s="295"/>
      <c r="AB12" s="295"/>
      <c r="AC12" s="295"/>
    </row>
    <row r="13" spans="6:29" ht="14.25" customHeight="1">
      <c r="J13" s="304"/>
      <c r="K13" s="304"/>
      <c r="L13" s="1156"/>
      <c r="M13" s="289"/>
      <c r="N13" s="1115"/>
      <c r="O13" s="2232"/>
      <c r="P13" s="2232"/>
      <c r="Q13" s="2232"/>
      <c r="R13" s="2232"/>
      <c r="S13" s="2232"/>
      <c r="T13" s="2232"/>
      <c r="U13" s="2232"/>
      <c r="V13" s="2232"/>
    </row>
    <row r="14" spans="6:29" ht="14.25" customHeight="1">
      <c r="J14" s="304"/>
      <c r="K14" s="304"/>
      <c r="L14" s="2007" t="s">
        <v>292</v>
      </c>
      <c r="M14" s="2007"/>
      <c r="N14" s="2007"/>
      <c r="O14" s="2007"/>
      <c r="P14" s="2007"/>
      <c r="Q14" s="2007"/>
      <c r="R14" s="2007"/>
      <c r="S14" s="2007"/>
      <c r="T14" s="2007"/>
      <c r="U14" s="2007"/>
      <c r="V14" s="2007"/>
      <c r="W14" s="2007"/>
      <c r="X14" s="2007" t="s">
        <v>293</v>
      </c>
    </row>
    <row r="15" spans="6:29" ht="14.25" customHeight="1">
      <c r="J15" s="304"/>
      <c r="K15" s="304"/>
      <c r="L15" s="2233" t="s">
        <v>87</v>
      </c>
      <c r="M15" s="2097" t="s">
        <v>1491</v>
      </c>
      <c r="N15" s="219"/>
      <c r="O15" s="2234" t="s">
        <v>1556</v>
      </c>
      <c r="P15" s="2235"/>
      <c r="Q15" s="2235"/>
      <c r="R15" s="2235"/>
      <c r="S15" s="2235"/>
      <c r="T15" s="2235"/>
      <c r="U15" s="2236"/>
      <c r="V15" s="2237" t="s">
        <v>1493</v>
      </c>
      <c r="W15" s="2240" t="s">
        <v>1557</v>
      </c>
      <c r="X15" s="2007"/>
    </row>
    <row r="16" spans="6:29" ht="33.75" customHeight="1">
      <c r="J16" s="304"/>
      <c r="K16" s="304"/>
      <c r="L16" s="2233"/>
      <c r="M16" s="2097"/>
      <c r="N16" s="924"/>
      <c r="O16" s="2066" t="s">
        <v>1496</v>
      </c>
      <c r="P16" s="2066" t="s">
        <v>1497</v>
      </c>
      <c r="Q16" s="1989" t="s">
        <v>1498</v>
      </c>
      <c r="R16" s="1988"/>
      <c r="S16" s="1989" t="s">
        <v>1517</v>
      </c>
      <c r="T16" s="1994"/>
      <c r="U16" s="1988"/>
      <c r="V16" s="2238"/>
      <c r="W16" s="2241"/>
      <c r="X16" s="2007"/>
    </row>
    <row r="17" spans="1:29" ht="33.75" customHeight="1">
      <c r="A17" s="1140" t="s">
        <v>135</v>
      </c>
      <c r="B17" s="1140" t="s">
        <v>136</v>
      </c>
      <c r="C17" s="1140" t="s">
        <v>137</v>
      </c>
      <c r="D17" s="1140" t="s">
        <v>138</v>
      </c>
      <c r="E17" s="1140"/>
      <c r="J17" s="304"/>
      <c r="K17" s="304"/>
      <c r="L17" s="2233"/>
      <c r="M17" s="2097"/>
      <c r="N17" s="220"/>
      <c r="O17" s="2122"/>
      <c r="P17" s="2122"/>
      <c r="Q17" s="1090" t="s">
        <v>1507</v>
      </c>
      <c r="R17" s="1090" t="s">
        <v>1508</v>
      </c>
      <c r="S17" s="1172" t="s">
        <v>1509</v>
      </c>
      <c r="T17" s="2103" t="s">
        <v>1510</v>
      </c>
      <c r="U17" s="2117"/>
      <c r="V17" s="2239"/>
      <c r="W17" s="2242"/>
      <c r="X17" s="2007"/>
    </row>
    <row r="18" spans="1:29" s="1708" customFormat="1" ht="11.25" customHeight="1">
      <c r="A18" s="1140"/>
      <c r="B18" s="1140"/>
      <c r="C18" s="1140"/>
      <c r="D18" s="1140"/>
      <c r="E18" s="1140"/>
      <c r="F18" s="1166"/>
      <c r="G18" s="1166"/>
      <c r="H18" s="1166"/>
      <c r="I18" s="1117"/>
      <c r="J18" s="1118"/>
      <c r="K18" s="1133">
        <v>1</v>
      </c>
      <c r="L18" s="1158" t="s">
        <v>108</v>
      </c>
      <c r="M18" s="1134" t="s">
        <v>109</v>
      </c>
      <c r="N18" s="1116" t="str">
        <f ca="1">OFFSET(N18,0,-1)</f>
        <v>2</v>
      </c>
      <c r="O18" s="1169">
        <f ca="1">OFFSET(O18,0,-1)+1</f>
        <v>3</v>
      </c>
      <c r="P18" s="1169"/>
      <c r="Q18" s="1169">
        <f ca="1">OFFSET(Q18,0,-1)+1</f>
        <v>1</v>
      </c>
      <c r="R18" s="1169">
        <f ca="1">OFFSET(R18,0,-1)+1</f>
        <v>2</v>
      </c>
      <c r="S18" s="1169">
        <f ca="1">OFFSET(S18,0,-1)+1</f>
        <v>3</v>
      </c>
      <c r="T18" s="2231">
        <f ca="1">OFFSET(T18,0,-1)+1</f>
        <v>4</v>
      </c>
      <c r="U18" s="2231"/>
      <c r="V18" s="1169">
        <f ca="1">OFFSET(V18,0,-2)+1</f>
        <v>5</v>
      </c>
      <c r="W18" s="1116">
        <f ca="1">OFFSET(W18,0,-1)</f>
        <v>5</v>
      </c>
      <c r="X18" s="1169">
        <f ca="1">OFFSET(X18,0,-1)+1</f>
        <v>6</v>
      </c>
      <c r="Y18" s="439"/>
      <c r="Z18" s="439"/>
      <c r="AA18" s="439"/>
      <c r="AB18" s="439"/>
      <c r="AC18" s="439"/>
    </row>
    <row r="19" spans="1:29" ht="21" customHeight="1">
      <c r="A19" s="1147" t="s">
        <v>1561</v>
      </c>
      <c r="B19" s="1147" t="s">
        <v>1562</v>
      </c>
      <c r="C19" s="1147" t="s">
        <v>1563</v>
      </c>
      <c r="D19" s="1147" t="s">
        <v>1564</v>
      </c>
      <c r="E19" s="1147"/>
      <c r="F19" s="602"/>
      <c r="G19" s="602"/>
      <c r="H19" s="602"/>
      <c r="I19" s="285"/>
      <c r="J19" s="284"/>
      <c r="K19" s="279"/>
      <c r="L19" s="1173" t="e">
        <f>INDEX(PT_DIFFERENTIATION_NUM_NTAR,MATCH(A19,PT_DIFFERENTIATION_NTAR_ID,0))</f>
        <v>#N/A</v>
      </c>
      <c r="M19" s="216" t="s">
        <v>124</v>
      </c>
      <c r="N19" s="218"/>
      <c r="O19" s="2277" t="e">
        <f>INDEX(PT_DIFFERENTIATION_NTAR,MATCH(A19,PT_DIFFERENTIATION_NTAR_ID,0))</f>
        <v>#N/A</v>
      </c>
      <c r="P19" s="2277"/>
      <c r="Q19" s="2277"/>
      <c r="R19" s="2277"/>
      <c r="S19" s="2277"/>
      <c r="T19" s="2277"/>
      <c r="U19" s="2277"/>
      <c r="V19" s="2277"/>
      <c r="W19" s="2277"/>
      <c r="X19" s="1138" t="s">
        <v>1462</v>
      </c>
      <c r="Z19" s="428"/>
      <c r="AA19" s="428" t="str">
        <f t="shared" ref="AA19:AA32" si="0">IF(M19="","",M19)</f>
        <v>Наименование тарифа</v>
      </c>
      <c r="AB19" s="428"/>
      <c r="AC19" s="428"/>
    </row>
    <row r="20" spans="1:29" ht="21" customHeight="1">
      <c r="A20" s="1147" t="s">
        <v>1561</v>
      </c>
      <c r="B20" s="1147" t="s">
        <v>1562</v>
      </c>
      <c r="C20" s="1147" t="s">
        <v>1563</v>
      </c>
      <c r="D20" s="1147" t="s">
        <v>1564</v>
      </c>
      <c r="E20" s="1147"/>
      <c r="F20" s="602"/>
      <c r="G20" s="602"/>
      <c r="H20" s="602"/>
      <c r="I20" s="1170"/>
      <c r="J20" s="276"/>
      <c r="K20" s="277"/>
      <c r="L20" s="1173" t="e">
        <f>INDEX(PT_DIFFERENTIATION_NUM_TER,MATCH(B19,PT_DIFFERENTIATION_TER_ID,0))</f>
        <v>#N/A</v>
      </c>
      <c r="M20" s="228" t="s">
        <v>1463</v>
      </c>
      <c r="N20" s="218"/>
      <c r="O20" s="2277" t="e">
        <f>INDEX(PT_DIFFERENTIATION_TER,MATCH(B19,PT_DIFFERENTIATION_TER_ID,0))</f>
        <v>#N/A</v>
      </c>
      <c r="P20" s="2277"/>
      <c r="Q20" s="2277"/>
      <c r="R20" s="2277"/>
      <c r="S20" s="2277"/>
      <c r="T20" s="2277"/>
      <c r="U20" s="2277"/>
      <c r="V20" s="2277"/>
      <c r="W20" s="2277"/>
      <c r="X20" s="1138" t="s">
        <v>1464</v>
      </c>
      <c r="Z20" s="428"/>
      <c r="AA20" s="428" t="str">
        <f t="shared" si="0"/>
        <v>Территория действия тарифа</v>
      </c>
      <c r="AB20" s="428"/>
      <c r="AC20" s="428"/>
    </row>
    <row r="21" spans="1:29" ht="22.5" customHeight="1">
      <c r="A21" s="1147" t="s">
        <v>1561</v>
      </c>
      <c r="B21" s="1147" t="s">
        <v>1562</v>
      </c>
      <c r="C21" s="1147" t="s">
        <v>1563</v>
      </c>
      <c r="D21" s="1147" t="s">
        <v>1564</v>
      </c>
      <c r="E21" s="1147"/>
      <c r="F21" s="602"/>
      <c r="G21" s="602"/>
      <c r="H21" s="602"/>
      <c r="I21" s="278"/>
      <c r="J21" s="276"/>
      <c r="K21" s="277"/>
      <c r="L21" s="1173" t="e">
        <f>INDEX(PT_DIFFERENTIATION_NUM_CS,MATCH(C19,PT_DIFFERENTIATION_CS_ID,0))</f>
        <v>#N/A</v>
      </c>
      <c r="M21" s="229" t="s">
        <v>1465</v>
      </c>
      <c r="N21" s="218"/>
      <c r="O21" s="2277" t="e">
        <f>INDEX(PT_DIFFERENTIATION_CS,MATCH(C19,PT_DIFFERENTIATION_CS_ID,0))</f>
        <v>#N/A</v>
      </c>
      <c r="P21" s="2277"/>
      <c r="Q21" s="2277"/>
      <c r="R21" s="2277"/>
      <c r="S21" s="2277"/>
      <c r="T21" s="2277"/>
      <c r="U21" s="2277"/>
      <c r="V21" s="2277"/>
      <c r="W21" s="2277"/>
      <c r="X21" s="1138" t="s">
        <v>1466</v>
      </c>
      <c r="Z21" s="428"/>
      <c r="AA21" s="428" t="str">
        <f t="shared" si="0"/>
        <v xml:space="preserve">Наименование системы теплоснабжения </v>
      </c>
      <c r="AB21" s="428"/>
      <c r="AC21" s="428"/>
    </row>
    <row r="22" spans="1:29" ht="21" customHeight="1">
      <c r="A22" s="1147" t="s">
        <v>1561</v>
      </c>
      <c r="B22" s="1147" t="s">
        <v>1562</v>
      </c>
      <c r="C22" s="1147" t="s">
        <v>1563</v>
      </c>
      <c r="D22" s="1147" t="s">
        <v>1564</v>
      </c>
      <c r="E22" s="1147"/>
      <c r="F22" s="602"/>
      <c r="G22" s="602"/>
      <c r="H22" s="602"/>
      <c r="I22" s="278"/>
      <c r="J22" s="276"/>
      <c r="K22" s="277"/>
      <c r="L22" s="1173" t="e">
        <f>INDEX(PT_DIFFERENTIATION_NUM_IST_TE,MATCH(D19,PT_DIFFERENTIATION_IST_TE_ID,0))</f>
        <v>#N/A</v>
      </c>
      <c r="M22" s="230" t="s">
        <v>1467</v>
      </c>
      <c r="N22" s="218"/>
      <c r="O22" s="2277" t="e">
        <f>INDEX(PT_DIFFERENTIATION_IST_TE,MATCH(D19,PT_DIFFERENTIATION_IST_TE_ID,0))</f>
        <v>#N/A</v>
      </c>
      <c r="P22" s="2277"/>
      <c r="Q22" s="2277"/>
      <c r="R22" s="2277"/>
      <c r="S22" s="2277"/>
      <c r="T22" s="2277"/>
      <c r="U22" s="2277"/>
      <c r="V22" s="2277"/>
      <c r="W22" s="2277"/>
      <c r="X22" s="1138" t="s">
        <v>1468</v>
      </c>
      <c r="Z22" s="428"/>
      <c r="AA22" s="428" t="str">
        <f t="shared" si="0"/>
        <v xml:space="preserve">Источник тепловой энергии  </v>
      </c>
      <c r="AB22" s="428"/>
      <c r="AC22" s="428"/>
    </row>
    <row r="23" spans="1:29" ht="94.5" customHeight="1">
      <c r="A23" s="1147" t="s">
        <v>1561</v>
      </c>
      <c r="B23" s="1147" t="s">
        <v>1562</v>
      </c>
      <c r="C23" s="1147" t="s">
        <v>1563</v>
      </c>
      <c r="D23" s="1147" t="s">
        <v>1564</v>
      </c>
      <c r="E23" s="1147"/>
      <c r="F23" s="1992" t="e">
        <f>L22&amp;".1"</f>
        <v>#N/A</v>
      </c>
      <c r="I23" s="2143">
        <v>1</v>
      </c>
      <c r="J23" s="1171"/>
      <c r="K23" s="280"/>
      <c r="L23" s="1173" t="e">
        <f>$F$23</f>
        <v>#N/A</v>
      </c>
      <c r="M23" s="203" t="s">
        <v>1470</v>
      </c>
      <c r="N23" s="218"/>
      <c r="O23" s="2278"/>
      <c r="P23" s="2278"/>
      <c r="Q23" s="2278"/>
      <c r="R23" s="2278"/>
      <c r="S23" s="2278"/>
      <c r="T23" s="2278"/>
      <c r="U23" s="2278"/>
      <c r="V23" s="2278"/>
      <c r="W23" s="2278"/>
      <c r="X23" s="1138" t="s">
        <v>1471</v>
      </c>
      <c r="Z23" s="428"/>
      <c r="AA23" s="428" t="str">
        <f t="shared" si="0"/>
        <v>Схема подключения теплопотребляющей установки к коллектору источника тепловой энергии</v>
      </c>
      <c r="AB23" s="428"/>
      <c r="AC23" s="428"/>
    </row>
    <row r="24" spans="1:29" ht="84" customHeight="1">
      <c r="A24" s="1147" t="s">
        <v>1561</v>
      </c>
      <c r="B24" s="1147" t="s">
        <v>1562</v>
      </c>
      <c r="C24" s="1147" t="s">
        <v>1563</v>
      </c>
      <c r="D24" s="1147" t="s">
        <v>1564</v>
      </c>
      <c r="E24" s="1147"/>
      <c r="F24" s="1992"/>
      <c r="G24" s="1992" t="e">
        <f>F23&amp;".1"</f>
        <v>#N/A</v>
      </c>
      <c r="I24" s="2143"/>
      <c r="J24" s="2143">
        <v>1</v>
      </c>
      <c r="K24" s="281"/>
      <c r="L24" s="1173" t="e">
        <f>$G$24</f>
        <v>#N/A</v>
      </c>
      <c r="M24" s="204" t="s">
        <v>1473</v>
      </c>
      <c r="N24" s="218"/>
      <c r="O24" s="2279"/>
      <c r="P24" s="2280"/>
      <c r="Q24" s="2280"/>
      <c r="R24" s="2280"/>
      <c r="S24" s="2280"/>
      <c r="T24" s="2280"/>
      <c r="U24" s="2280"/>
      <c r="V24" s="2280"/>
      <c r="W24" s="2281"/>
      <c r="X24" s="1138" t="s">
        <v>1474</v>
      </c>
      <c r="Z24" s="428"/>
      <c r="AA24" s="428" t="str">
        <f t="shared" si="0"/>
        <v>Группа потребителей</v>
      </c>
      <c r="AB24" s="428"/>
      <c r="AC24" s="428"/>
    </row>
    <row r="25" spans="1:29" ht="11.25" customHeight="1">
      <c r="A25" s="1147" t="s">
        <v>1561</v>
      </c>
      <c r="B25" s="1147" t="s">
        <v>1562</v>
      </c>
      <c r="C25" s="1147" t="s">
        <v>1563</v>
      </c>
      <c r="D25" s="1147" t="s">
        <v>1564</v>
      </c>
      <c r="E25" s="1147"/>
      <c r="F25" s="1992"/>
      <c r="G25" s="1992"/>
      <c r="H25" s="1992" t="e">
        <f>G24&amp;".1"</f>
        <v>#N/A</v>
      </c>
      <c r="I25" s="2143"/>
      <c r="J25" s="2143"/>
      <c r="K25" s="281">
        <v>1</v>
      </c>
      <c r="L25" s="1173" t="e">
        <f>$H$25</f>
        <v>#N/A</v>
      </c>
      <c r="M25" s="1139"/>
      <c r="N25" s="218"/>
      <c r="O25" s="1664"/>
      <c r="P25" s="1665"/>
      <c r="Q25" s="1664"/>
      <c r="R25" s="1666"/>
      <c r="S25" s="2225"/>
      <c r="T25" s="2017" t="s">
        <v>62</v>
      </c>
      <c r="U25" s="2225"/>
      <c r="V25" s="2017" t="s">
        <v>55</v>
      </c>
      <c r="W25" s="1665"/>
      <c r="X25" s="2243" t="s">
        <v>1476</v>
      </c>
      <c r="Y25" s="439" t="e">
        <f ca="1">STRCHECKDATE(O26:W26)</f>
        <v>#NAME?</v>
      </c>
      <c r="Z25" s="428"/>
      <c r="AA25" s="428" t="str">
        <f t="shared" si="0"/>
        <v/>
      </c>
      <c r="AB25" s="428"/>
      <c r="AC25" s="428"/>
    </row>
    <row r="26" spans="1:29" ht="11.25" customHeight="1">
      <c r="A26" s="1147" t="s">
        <v>1561</v>
      </c>
      <c r="B26" s="1147" t="s">
        <v>1562</v>
      </c>
      <c r="C26" s="1147" t="s">
        <v>1563</v>
      </c>
      <c r="D26" s="1147" t="s">
        <v>1564</v>
      </c>
      <c r="E26" s="1147"/>
      <c r="F26" s="1992"/>
      <c r="G26" s="1992"/>
      <c r="H26" s="1992"/>
      <c r="I26" s="2143"/>
      <c r="J26" s="2143"/>
      <c r="K26" s="281"/>
      <c r="L26" s="1174"/>
      <c r="M26" s="218"/>
      <c r="N26" s="218"/>
      <c r="O26" s="1665"/>
      <c r="P26" s="1665"/>
      <c r="Q26" s="1665"/>
      <c r="R26" s="1667" t="str">
        <f>S25&amp;"-"&amp;U25</f>
        <v>-</v>
      </c>
      <c r="S26" s="2226"/>
      <c r="T26" s="2017"/>
      <c r="U26" s="2226"/>
      <c r="V26" s="2017"/>
      <c r="W26" s="1665"/>
      <c r="X26" s="2244"/>
      <c r="Z26" s="428"/>
      <c r="AA26" s="428" t="str">
        <f t="shared" si="0"/>
        <v/>
      </c>
      <c r="AB26" s="428"/>
      <c r="AC26" s="428"/>
    </row>
    <row r="27" spans="1:29" ht="15" customHeight="1">
      <c r="A27" s="1147" t="s">
        <v>1561</v>
      </c>
      <c r="B27" s="1147" t="s">
        <v>1562</v>
      </c>
      <c r="C27" s="1147" t="s">
        <v>1563</v>
      </c>
      <c r="D27" s="1147" t="s">
        <v>1564</v>
      </c>
      <c r="E27" s="1147"/>
      <c r="F27" s="1992"/>
      <c r="G27" s="1992"/>
      <c r="I27" s="2143"/>
      <c r="J27" s="2143"/>
      <c r="K27" s="280"/>
      <c r="L27" s="1159"/>
      <c r="M27" s="206" t="s">
        <v>1477</v>
      </c>
      <c r="N27" s="294"/>
      <c r="O27" s="294"/>
      <c r="P27" s="294"/>
      <c r="Q27" s="294"/>
      <c r="R27" s="294"/>
      <c r="S27" s="294"/>
      <c r="T27" s="294"/>
      <c r="U27" s="294"/>
      <c r="V27" s="294"/>
      <c r="W27" s="251"/>
      <c r="X27" s="2245"/>
      <c r="Z27" s="428"/>
      <c r="AA27" s="428" t="str">
        <f t="shared" si="0"/>
        <v>Добавить вид теплоносителя (параметры теплоносителя)</v>
      </c>
      <c r="AB27" s="428"/>
      <c r="AC27" s="428"/>
    </row>
    <row r="28" spans="1:29" ht="15" customHeight="1">
      <c r="A28" s="1147" t="s">
        <v>1561</v>
      </c>
      <c r="B28" s="1147" t="s">
        <v>1562</v>
      </c>
      <c r="C28" s="1147" t="s">
        <v>1563</v>
      </c>
      <c r="D28" s="1147" t="s">
        <v>1564</v>
      </c>
      <c r="E28" s="1147"/>
      <c r="F28" s="1992"/>
      <c r="I28" s="2143"/>
      <c r="J28" s="1171"/>
      <c r="K28" s="280"/>
      <c r="L28" s="1159"/>
      <c r="M28" s="205" t="s">
        <v>1478</v>
      </c>
      <c r="N28" s="294"/>
      <c r="O28" s="294"/>
      <c r="P28" s="294"/>
      <c r="Q28" s="294"/>
      <c r="R28" s="294"/>
      <c r="S28" s="294"/>
      <c r="T28" s="294"/>
      <c r="U28" s="294"/>
      <c r="V28" s="293"/>
      <c r="W28" s="294"/>
      <c r="X28" s="221"/>
      <c r="Z28" s="428"/>
      <c r="AA28" s="428" t="str">
        <f t="shared" si="0"/>
        <v>Добавить группу потребителей</v>
      </c>
      <c r="AB28" s="428"/>
      <c r="AC28" s="428"/>
    </row>
    <row r="29" spans="1:29" ht="14.25" customHeight="1">
      <c r="A29" s="1147" t="s">
        <v>1561</v>
      </c>
      <c r="B29" s="1147" t="s">
        <v>1562</v>
      </c>
      <c r="C29" s="1147" t="s">
        <v>1563</v>
      </c>
      <c r="D29" s="1147" t="s">
        <v>1564</v>
      </c>
      <c r="E29" s="1147"/>
      <c r="F29" s="602"/>
      <c r="G29" s="602"/>
      <c r="H29" s="437"/>
      <c r="I29" s="284"/>
      <c r="J29" s="303"/>
      <c r="K29" s="279"/>
      <c r="L29" s="1159"/>
      <c r="M29" s="291" t="s">
        <v>1479</v>
      </c>
      <c r="N29" s="294"/>
      <c r="O29" s="294"/>
      <c r="P29" s="294"/>
      <c r="Q29" s="294"/>
      <c r="R29" s="294"/>
      <c r="S29" s="294"/>
      <c r="T29" s="294"/>
      <c r="U29" s="294"/>
      <c r="V29" s="293"/>
      <c r="W29" s="294"/>
      <c r="X29" s="221"/>
      <c r="Z29" s="428"/>
      <c r="AA29" s="428" t="str">
        <f t="shared" si="0"/>
        <v>Добавить схему подключения</v>
      </c>
      <c r="AB29" s="428"/>
      <c r="AC29" s="428"/>
    </row>
    <row r="30" spans="1:29" ht="14.25" customHeight="1">
      <c r="A30" s="1147" t="s">
        <v>1561</v>
      </c>
      <c r="B30" s="1147" t="s">
        <v>1562</v>
      </c>
      <c r="C30" s="1147" t="s">
        <v>1563</v>
      </c>
      <c r="D30" s="1147"/>
      <c r="E30" s="1147" t="s">
        <v>1558</v>
      </c>
      <c r="F30" s="602"/>
      <c r="G30" s="602"/>
      <c r="H30" s="437"/>
      <c r="I30" s="284"/>
      <c r="J30" s="303"/>
      <c r="K30" s="279"/>
      <c r="L30" s="1160"/>
      <c r="M30" s="1149"/>
      <c r="N30" s="1150"/>
      <c r="O30" s="1150"/>
      <c r="P30" s="1150"/>
      <c r="Q30" s="1150"/>
      <c r="R30" s="1150"/>
      <c r="S30" s="1150"/>
      <c r="T30" s="1150"/>
      <c r="U30" s="1150"/>
      <c r="V30" s="1151"/>
      <c r="W30" s="1150"/>
      <c r="X30" s="1152"/>
      <c r="Z30" s="428"/>
      <c r="AA30" s="428" t="str">
        <f t="shared" si="0"/>
        <v/>
      </c>
      <c r="AB30" s="428"/>
      <c r="AC30" s="428"/>
    </row>
    <row r="31" spans="1:29" ht="14.25" customHeight="1">
      <c r="A31" s="1147" t="s">
        <v>1561</v>
      </c>
      <c r="B31" s="1147" t="s">
        <v>1562</v>
      </c>
      <c r="C31" s="1147"/>
      <c r="D31" s="1147"/>
      <c r="E31" s="1147" t="s">
        <v>1559</v>
      </c>
      <c r="F31" s="1136"/>
      <c r="G31" s="1136"/>
      <c r="H31" s="437"/>
      <c r="I31" s="282"/>
      <c r="J31" s="303"/>
      <c r="K31" s="283"/>
      <c r="L31" s="1160"/>
      <c r="M31" s="1153"/>
      <c r="N31" s="1150"/>
      <c r="O31" s="1150"/>
      <c r="P31" s="1150"/>
      <c r="Q31" s="1150"/>
      <c r="R31" s="1150"/>
      <c r="S31" s="1150"/>
      <c r="T31" s="1150"/>
      <c r="U31" s="1150"/>
      <c r="V31" s="1151"/>
      <c r="W31" s="1150"/>
      <c r="X31" s="1152"/>
      <c r="Z31" s="428"/>
      <c r="AA31" s="428" t="str">
        <f t="shared" si="0"/>
        <v/>
      </c>
      <c r="AB31" s="428"/>
      <c r="AC31" s="428"/>
    </row>
    <row r="32" spans="1:29" ht="14.25" customHeight="1">
      <c r="A32" s="1147" t="s">
        <v>1565</v>
      </c>
      <c r="B32" s="1147"/>
      <c r="C32" s="1147"/>
      <c r="D32" s="1147"/>
      <c r="E32" s="1147" t="s">
        <v>103</v>
      </c>
      <c r="F32" s="1136"/>
      <c r="G32" s="1136"/>
      <c r="H32" s="437"/>
      <c r="I32" s="284"/>
      <c r="J32" s="303"/>
      <c r="K32" s="279"/>
      <c r="L32" s="1160"/>
      <c r="M32" s="1154"/>
      <c r="N32" s="1150"/>
      <c r="O32" s="1150"/>
      <c r="P32" s="1150"/>
      <c r="Q32" s="1150"/>
      <c r="R32" s="1150"/>
      <c r="S32" s="1150"/>
      <c r="T32" s="1150"/>
      <c r="U32" s="1150"/>
      <c r="V32" s="1151"/>
      <c r="W32" s="1150"/>
      <c r="X32" s="1152"/>
      <c r="Z32" s="428"/>
      <c r="AA32" s="428" t="str">
        <f t="shared" si="0"/>
        <v/>
      </c>
      <c r="AB32" s="428"/>
      <c r="AC32" s="428"/>
    </row>
    <row r="33" spans="1:29" s="1969" customFormat="1" ht="11.25" customHeight="1">
      <c r="A33" s="1147"/>
      <c r="B33" s="1147"/>
      <c r="C33" s="1147"/>
      <c r="D33" s="1147"/>
      <c r="E33" s="1147" t="s">
        <v>1441</v>
      </c>
      <c r="F33" s="1148"/>
      <c r="G33" s="1137"/>
      <c r="H33" s="437"/>
      <c r="L33" s="1161"/>
      <c r="M33" s="1155"/>
      <c r="N33" s="1150"/>
      <c r="O33" s="1150"/>
      <c r="P33" s="1150"/>
      <c r="Q33" s="1150"/>
      <c r="R33" s="1150"/>
      <c r="S33" s="1150"/>
      <c r="T33" s="1150"/>
      <c r="U33" s="1150"/>
      <c r="V33" s="1151"/>
      <c r="W33" s="1150"/>
      <c r="X33" s="1152"/>
      <c r="Y33" s="309"/>
      <c r="Z33" s="309"/>
      <c r="AA33" s="309"/>
      <c r="AB33" s="309"/>
      <c r="AC33" s="309"/>
    </row>
    <row r="34" spans="1:29" ht="11.25" customHeight="1">
      <c r="F34" s="1029"/>
      <c r="G34" s="1029"/>
      <c r="H34" s="437"/>
      <c r="I34" s="1029"/>
      <c r="J34" s="1029"/>
      <c r="K34" s="1029"/>
      <c r="Y34" s="1029"/>
      <c r="Z34" s="1029"/>
      <c r="AA34" s="1029"/>
      <c r="AB34" s="1029"/>
      <c r="AC34" s="1029"/>
    </row>
    <row r="35" spans="1:29" ht="27" customHeight="1">
      <c r="H35" s="437"/>
      <c r="L35" s="1168" t="s">
        <v>1511</v>
      </c>
      <c r="M35" s="2220" t="s">
        <v>1518</v>
      </c>
      <c r="N35" s="2220"/>
      <c r="O35" s="2220"/>
      <c r="P35" s="2220"/>
      <c r="Q35" s="2220"/>
      <c r="R35" s="2220"/>
      <c r="S35" s="2220"/>
      <c r="T35" s="2220"/>
      <c r="U35" s="2220"/>
      <c r="V35" s="2220"/>
      <c r="W35" s="2220"/>
      <c r="X35" s="2220"/>
    </row>
    <row r="36" spans="1:29" ht="104.25" customHeight="1">
      <c r="F36" s="1187"/>
      <c r="G36" s="1187"/>
      <c r="H36" s="437"/>
      <c r="I36" s="1187"/>
      <c r="M36" s="2220" t="s">
        <v>1513</v>
      </c>
      <c r="N36" s="2220"/>
      <c r="O36" s="2220"/>
      <c r="P36" s="2220"/>
      <c r="Q36" s="2220"/>
      <c r="R36" s="2220"/>
      <c r="S36" s="2220"/>
      <c r="T36" s="2220"/>
      <c r="U36" s="2220"/>
      <c r="V36" s="2220"/>
      <c r="W36" s="2220"/>
      <c r="X36" s="2220"/>
    </row>
    <row r="37" spans="1:29" ht="14.25" customHeight="1">
      <c r="H37" s="437"/>
    </row>
    <row r="38" spans="1:29" ht="14.25" customHeight="1">
      <c r="H38" s="437"/>
    </row>
    <row r="39" spans="1:29" ht="14.25" customHeight="1">
      <c r="H39" s="437"/>
    </row>
    <row r="40" spans="1:29" ht="14.25" customHeight="1">
      <c r="H40" s="437"/>
    </row>
  </sheetData>
  <sheetProtection formatColumns="0" formatRows="0" insertRows="0" deleteColumns="0" deleteRows="0" sort="0" autoFilter="0"/>
  <mergeCells count="39">
    <mergeCell ref="M35:X35"/>
    <mergeCell ref="M36:X36"/>
    <mergeCell ref="S25:S26"/>
    <mergeCell ref="T25:T26"/>
    <mergeCell ref="U25:U26"/>
    <mergeCell ref="V25:V26"/>
    <mergeCell ref="X25:X27"/>
    <mergeCell ref="X14:X17"/>
    <mergeCell ref="L15:L17"/>
    <mergeCell ref="M15:M17"/>
    <mergeCell ref="O15:U15"/>
    <mergeCell ref="V15:V17"/>
    <mergeCell ref="W15:W17"/>
    <mergeCell ref="O16:O17"/>
    <mergeCell ref="P16:P17"/>
    <mergeCell ref="Q16:R16"/>
    <mergeCell ref="S16:U16"/>
    <mergeCell ref="T17:U17"/>
    <mergeCell ref="L5:U5"/>
    <mergeCell ref="L6:U6"/>
    <mergeCell ref="O8:U8"/>
    <mergeCell ref="O9:U9"/>
    <mergeCell ref="O10:U10"/>
    <mergeCell ref="O11:U11"/>
    <mergeCell ref="L12:M12"/>
    <mergeCell ref="O13:V13"/>
    <mergeCell ref="L14:W14"/>
    <mergeCell ref="T18:U18"/>
    <mergeCell ref="O19:W19"/>
    <mergeCell ref="O20:W20"/>
    <mergeCell ref="O21:W21"/>
    <mergeCell ref="O22:W22"/>
    <mergeCell ref="F23:F28"/>
    <mergeCell ref="I23:I28"/>
    <mergeCell ref="O23:W23"/>
    <mergeCell ref="G24:G27"/>
    <mergeCell ref="J24:J27"/>
    <mergeCell ref="O24:W24"/>
    <mergeCell ref="H25:H26"/>
  </mergeCells>
  <dataValidations count="8">
    <dataValidation type="list" allowBlank="1" showInputMessage="1" showErrorMessage="1" errorTitle="Ошибка" error="Выберите значение из списка" sqref="O983063:P983063 O65559:P65559 O131095:P131095 O196631:P196631 O262167:P262167 O327703:P327703 O393239:P393239 O458775:P458775 O524311:P524311 O589847:P589847 O655383:P655383 O720919:P720919 O786455:P786455 O851991:P851991 O917527:P917527">
      <formula1>kind_of_scheme_in</formula1>
    </dataValidation>
    <dataValidation type="list" allowBlank="1" showInputMessage="1" errorTitle="Ошибка" error="Выберите значение из списка" prompt="Выберите значение из списка" sqref="O983064:W983064 O65560:W65560 O131096:W131096 O196632:W196632 O262168:W262168 O327704:W327704 O393240:W393240 O458776:W458776 O524312:W524312 O589848:W589848 O655384:W655384 O720920:W720920 O786456:W786456 O851992:W851992 O917528:W917528">
      <formula1>kind_of_cons</formula1>
    </dataValidation>
    <dataValidation type="textLength" operator="lessThanOrEqual" allowBlank="1" showInputMessage="1" showErrorMessage="1" errorTitle="Ошибка" error="Допускается ввод не более 900 символов!" sqref="X65555:X65562 X131091:X131098 X196627:X196634 X262163:X262170 X327699:X327706 X393235:X393242 X458771:X458778 X524307:X524314 X589843:X589850 X655379:X655386 X720915:X720922 X786451:X786458 X851987:X851994 X917523:X917530 X983059:X983066">
      <formula1>900</formula1>
    </dataValidation>
    <dataValidation type="list" allowBlank="1" showInputMessage="1" showErrorMessage="1" errorTitle="Ошибка" error="Выберите значение из списка" sqref="M65561 M131097 M196633 M262169 M327705 M393241 M458777 M524313 M589849 M655385 M720921 M786457 M851993 M917529 M983065">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S65561 S131097 S196633 S262169 S327705 S393241 S458777 S524313 S589849 S655385 S720921 S786457 S851993 S917529 S983065 U65561 U131097 U196633 U262169 U327705 U393241 U458777 U524313 U589849 U655385 U720921 U786457 U851993 U917529 U983065 U25 S25"/>
    <dataValidation allowBlank="1" showInputMessage="1" showErrorMessage="1" prompt="Для выбора выполните двойной щелчок левой клавиши мыши по соответствующей ячейке." sqref="T65561 T131097 T196633 T262169 T327705 T393241 T458777 T524313 T589849 T655385 T720921 T786457 T851993 T917529 T983065 V589849 V655385 V720921 V786457 V851993 V917529 V983065 V65561 V131097 V458777 V196633 V262169 V327705 V393241 V25 T25 V524313"/>
    <dataValidation allowBlank="1" promptTitle="checkPeriodRange" sqref="R26 R65562 R131098 R196634 R262170 R327706 R393242 R458778 R524314 R589850 R655386 R720922 R786458 R851994 R917530 R983066"/>
    <dataValidation allowBlank="1" sqref="L131099:X131105 L196635:X196641 L262171:X262177 L327707:X327713 L393243:X393249 L458779:X458785 L524315:X524321 L589851:X589857 L655387:X655393 L720923:X720929 L786459:X786465 L851995:X852001 L917531:X917537 L983067:X983073 L65563:X65569"/>
  </dataValidation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39997558519241921"/>
  </sheetPr>
  <dimension ref="A1:AC40"/>
  <sheetViews>
    <sheetView showGridLines="0" topLeftCell="A4" workbookViewId="0"/>
  </sheetViews>
  <sheetFormatPr defaultColWidth="10.5703125" defaultRowHeight="14.25" customHeight="1"/>
  <cols>
    <col min="1" max="1" width="10.5703125" style="1829"/>
    <col min="2" max="2" width="11" style="1829" customWidth="1"/>
    <col min="3" max="3" width="10.5703125" style="1829"/>
    <col min="4" max="4" width="11.85546875" style="1829" customWidth="1"/>
    <col min="5" max="5" width="12.28515625" style="1829" customWidth="1"/>
    <col min="6" max="8" width="12.28515625" style="1720" customWidth="1"/>
    <col min="9" max="9" width="3.7109375" style="1720" customWidth="1"/>
    <col min="10" max="11" width="3.7109375" style="1674" customWidth="1"/>
    <col min="12" max="12" width="12.7109375" style="1713" customWidth="1"/>
    <col min="13" max="13" width="32" style="1829" customWidth="1"/>
    <col min="14" max="14" width="1.7109375" style="1829" customWidth="1"/>
    <col min="15" max="18" width="24.7109375" style="1829" customWidth="1"/>
    <col min="19" max="19" width="11.7109375" style="1829" customWidth="1"/>
    <col min="20" max="20" width="3.7109375" style="1829" customWidth="1"/>
    <col min="21" max="21" width="11.7109375" style="1829" customWidth="1"/>
    <col min="22" max="22" width="8.5703125" style="1829" customWidth="1"/>
    <col min="23" max="23" width="4.7109375" style="1829" customWidth="1"/>
    <col min="24" max="24" width="115.7109375" style="1829" customWidth="1"/>
    <col min="25" max="26" width="10.5703125" style="1755"/>
    <col min="27" max="27" width="11.140625" style="1755" customWidth="1"/>
    <col min="28" max="29" width="10.5703125" style="1755"/>
  </cols>
  <sheetData>
    <row r="1" spans="6:29" ht="14.25" hidden="1" customHeight="1">
      <c r="R1" s="254"/>
      <c r="S1" s="254"/>
    </row>
    <row r="2" spans="6:29" ht="14.25" hidden="1" customHeight="1">
      <c r="V2" s="254"/>
    </row>
    <row r="3" spans="6:29" ht="14.25" hidden="1" customHeight="1"/>
    <row r="4" spans="6:29" ht="14.25" customHeight="1">
      <c r="J4" s="304"/>
      <c r="K4" s="304"/>
      <c r="L4" s="1156"/>
      <c r="M4" s="289"/>
      <c r="N4" s="289"/>
      <c r="O4" s="437"/>
      <c r="P4" s="437"/>
      <c r="Q4" s="437"/>
      <c r="R4" s="437"/>
      <c r="S4" s="437"/>
      <c r="T4" s="437"/>
      <c r="U4" s="437"/>
      <c r="V4" s="437"/>
    </row>
    <row r="5" spans="6:29" ht="64.5" customHeight="1">
      <c r="J5" s="304"/>
      <c r="K5" s="304"/>
      <c r="L5" s="2065" t="s">
        <v>415</v>
      </c>
      <c r="M5" s="2065"/>
      <c r="N5" s="2065"/>
      <c r="O5" s="2065"/>
      <c r="P5" s="2065"/>
      <c r="Q5" s="2065"/>
      <c r="R5" s="2065"/>
      <c r="S5" s="2065"/>
      <c r="T5" s="2065"/>
      <c r="U5" s="2065"/>
      <c r="V5" s="1114"/>
    </row>
    <row r="6" spans="6:29" ht="14.25" customHeight="1">
      <c r="J6" s="304"/>
      <c r="K6" s="304"/>
      <c r="L6" s="2088" t="str">
        <f>IF(org=0,"Не определено",org)</f>
        <v>МУП г. Астрахани "Коммунэнерго"</v>
      </c>
      <c r="M6" s="2088"/>
      <c r="N6" s="2088"/>
      <c r="O6" s="2088"/>
      <c r="P6" s="2088"/>
      <c r="Q6" s="2088"/>
      <c r="R6" s="2088"/>
      <c r="S6" s="2088"/>
      <c r="T6" s="2088"/>
      <c r="U6" s="2088"/>
      <c r="V6" s="1114"/>
    </row>
    <row r="7" spans="6:29" ht="14.25" customHeight="1">
      <c r="J7" s="304"/>
      <c r="K7" s="304"/>
      <c r="L7" s="1156"/>
      <c r="M7" s="289"/>
      <c r="N7" s="289"/>
      <c r="O7" s="248"/>
      <c r="P7" s="248"/>
      <c r="Q7" s="248"/>
      <c r="R7" s="248"/>
      <c r="S7" s="248"/>
      <c r="T7" s="248"/>
      <c r="U7" s="248"/>
      <c r="V7" s="248"/>
      <c r="W7" s="437"/>
    </row>
    <row r="8" spans="6:29" s="1933" customFormat="1" ht="45" customHeight="1">
      <c r="F8" s="1120"/>
      <c r="G8" s="1120"/>
      <c r="H8" s="1120"/>
      <c r="L8" s="1157"/>
      <c r="M8" s="213" t="s">
        <v>38</v>
      </c>
      <c r="N8" s="222"/>
      <c r="O8" s="2214" t="str">
        <f>IF(TITLE_NAME_OR_PR_CHANGE="",IF(TITLE_NAME_OR_PR="","",TITLE_NAME_OR_PR),TITLE_NAME_OR_PR_CHANGE)</f>
        <v/>
      </c>
      <c r="P8" s="2214"/>
      <c r="Q8" s="2214"/>
      <c r="R8" s="2214"/>
      <c r="S8" s="2214"/>
      <c r="T8" s="2214"/>
      <c r="U8" s="2214"/>
      <c r="V8" s="253"/>
      <c r="W8" s="253"/>
      <c r="X8" s="199"/>
      <c r="Y8" s="295"/>
      <c r="Z8" s="295"/>
      <c r="AA8" s="295"/>
      <c r="AB8" s="295"/>
      <c r="AC8" s="295"/>
    </row>
    <row r="9" spans="6:29" s="1933" customFormat="1" ht="22.5" customHeight="1">
      <c r="F9" s="1120"/>
      <c r="G9" s="1120"/>
      <c r="H9" s="1120"/>
      <c r="L9" s="1157"/>
      <c r="M9" s="213" t="s">
        <v>1486</v>
      </c>
      <c r="N9" s="222"/>
      <c r="O9" s="2214" t="str">
        <f>IF(TITLE_DATE_CHANGE_PERIOD="",IF(TITLE_DATE_PR="","",TITLE_DATE_PR),TITLE_DATE_CHANGE_PERIOD)</f>
        <v/>
      </c>
      <c r="P9" s="2214"/>
      <c r="Q9" s="2214"/>
      <c r="R9" s="2214"/>
      <c r="S9" s="2214"/>
      <c r="T9" s="2214"/>
      <c r="U9" s="2214"/>
      <c r="V9" s="253"/>
      <c r="W9" s="253"/>
      <c r="X9" s="199"/>
      <c r="Y9" s="295"/>
      <c r="Z9" s="295"/>
      <c r="AA9" s="295"/>
      <c r="AB9" s="295"/>
      <c r="AC9" s="295"/>
    </row>
    <row r="10" spans="6:29" s="1933" customFormat="1" ht="22.5" customHeight="1">
      <c r="F10" s="1120"/>
      <c r="G10" s="1120"/>
      <c r="H10" s="1120"/>
      <c r="L10" s="1122"/>
      <c r="M10" s="213" t="s">
        <v>1487</v>
      </c>
      <c r="N10" s="222"/>
      <c r="O10" s="2214" t="str">
        <f>IF(TITLE_NUMBER_PR_CHANGE="",IF(TITLE_NUMBER_PR="","",TITLE_NUMBER_PR),TITLE_NUMBER_PR_CHANGE)</f>
        <v/>
      </c>
      <c r="P10" s="2214"/>
      <c r="Q10" s="2214"/>
      <c r="R10" s="2214"/>
      <c r="S10" s="2214"/>
      <c r="T10" s="2214"/>
      <c r="U10" s="2214"/>
      <c r="V10" s="253"/>
      <c r="W10" s="253"/>
      <c r="X10" s="199"/>
      <c r="Y10" s="295"/>
      <c r="Z10" s="295"/>
      <c r="AA10" s="295"/>
      <c r="AB10" s="295"/>
      <c r="AC10" s="295"/>
    </row>
    <row r="11" spans="6:29" s="1933" customFormat="1" ht="22.5" customHeight="1">
      <c r="F11" s="1120"/>
      <c r="G11" s="1120"/>
      <c r="H11" s="1120"/>
      <c r="L11" s="1122"/>
      <c r="M11" s="213" t="s">
        <v>39</v>
      </c>
      <c r="N11" s="222"/>
      <c r="O11" s="2214" t="str">
        <f>IF(TITLE_IST_PUB_CHANGE="",IF(TITLE_IST_PUB="","",TITLE_IST_PUB),TITLE_IST_PUB_CHANGE)</f>
        <v/>
      </c>
      <c r="P11" s="2214"/>
      <c r="Q11" s="2214"/>
      <c r="R11" s="2214"/>
      <c r="S11" s="2214"/>
      <c r="T11" s="2214"/>
      <c r="U11" s="2214"/>
      <c r="V11" s="253"/>
      <c r="W11" s="253"/>
      <c r="X11" s="199"/>
      <c r="Y11" s="295"/>
      <c r="Z11" s="295"/>
      <c r="AA11" s="295"/>
      <c r="AB11" s="295"/>
      <c r="AC11" s="295"/>
    </row>
    <row r="12" spans="6:29" s="1933" customFormat="1" ht="11.25" hidden="1" customHeight="1">
      <c r="F12" s="1120"/>
      <c r="G12" s="1120"/>
      <c r="H12" s="1120"/>
      <c r="L12" s="2282"/>
      <c r="M12" s="2282"/>
      <c r="N12" s="1167"/>
      <c r="O12" s="253"/>
      <c r="P12" s="253"/>
      <c r="Q12" s="253"/>
      <c r="R12" s="253"/>
      <c r="S12" s="253"/>
      <c r="T12" s="253"/>
      <c r="U12" s="253"/>
      <c r="V12" s="197" t="s">
        <v>1490</v>
      </c>
      <c r="Y12" s="295"/>
      <c r="Z12" s="295"/>
      <c r="AA12" s="295"/>
      <c r="AB12" s="295"/>
      <c r="AC12" s="295"/>
    </row>
    <row r="13" spans="6:29" ht="14.25" customHeight="1">
      <c r="J13" s="304"/>
      <c r="K13" s="304"/>
      <c r="L13" s="1156"/>
      <c r="M13" s="289"/>
      <c r="N13" s="1115"/>
      <c r="O13" s="2232"/>
      <c r="P13" s="2232"/>
      <c r="Q13" s="2232"/>
      <c r="R13" s="2232"/>
      <c r="S13" s="2232"/>
      <c r="T13" s="2232"/>
      <c r="U13" s="2232"/>
      <c r="V13" s="2232"/>
    </row>
    <row r="14" spans="6:29" ht="14.25" customHeight="1">
      <c r="J14" s="304"/>
      <c r="K14" s="304"/>
      <c r="L14" s="2007" t="s">
        <v>292</v>
      </c>
      <c r="M14" s="2007"/>
      <c r="N14" s="2007"/>
      <c r="O14" s="2007"/>
      <c r="P14" s="2007"/>
      <c r="Q14" s="2007"/>
      <c r="R14" s="2007"/>
      <c r="S14" s="2007"/>
      <c r="T14" s="2007"/>
      <c r="U14" s="2007"/>
      <c r="V14" s="2007"/>
      <c r="W14" s="2007"/>
      <c r="X14" s="2007" t="s">
        <v>293</v>
      </c>
    </row>
    <row r="15" spans="6:29" ht="14.25" customHeight="1">
      <c r="J15" s="304"/>
      <c r="K15" s="304"/>
      <c r="L15" s="2233" t="s">
        <v>87</v>
      </c>
      <c r="M15" s="2097" t="s">
        <v>1491</v>
      </c>
      <c r="N15" s="219"/>
      <c r="O15" s="2234" t="s">
        <v>1556</v>
      </c>
      <c r="P15" s="2235"/>
      <c r="Q15" s="2235"/>
      <c r="R15" s="2235"/>
      <c r="S15" s="2235"/>
      <c r="T15" s="2235"/>
      <c r="U15" s="2236"/>
      <c r="V15" s="2237" t="s">
        <v>1493</v>
      </c>
      <c r="W15" s="2240" t="s">
        <v>1557</v>
      </c>
      <c r="X15" s="2007"/>
    </row>
    <row r="16" spans="6:29" ht="33.75" customHeight="1">
      <c r="J16" s="304"/>
      <c r="K16" s="304"/>
      <c r="L16" s="2233"/>
      <c r="M16" s="2097"/>
      <c r="N16" s="924"/>
      <c r="O16" s="2066" t="s">
        <v>1496</v>
      </c>
      <c r="P16" s="2066" t="s">
        <v>1497</v>
      </c>
      <c r="Q16" s="1989" t="s">
        <v>1498</v>
      </c>
      <c r="R16" s="1988"/>
      <c r="S16" s="1989" t="s">
        <v>1517</v>
      </c>
      <c r="T16" s="1994"/>
      <c r="U16" s="1988"/>
      <c r="V16" s="2238"/>
      <c r="W16" s="2241"/>
      <c r="X16" s="2007"/>
    </row>
    <row r="17" spans="1:29" ht="33.75" customHeight="1">
      <c r="A17" s="1140" t="s">
        <v>135</v>
      </c>
      <c r="B17" s="1140" t="s">
        <v>136</v>
      </c>
      <c r="C17" s="1140" t="s">
        <v>137</v>
      </c>
      <c r="D17" s="1140" t="s">
        <v>138</v>
      </c>
      <c r="E17" s="1140"/>
      <c r="J17" s="304"/>
      <c r="K17" s="304"/>
      <c r="L17" s="2233"/>
      <c r="M17" s="2097"/>
      <c r="N17" s="220"/>
      <c r="O17" s="2122"/>
      <c r="P17" s="2122"/>
      <c r="Q17" s="1090" t="s">
        <v>1507</v>
      </c>
      <c r="R17" s="1090" t="s">
        <v>1508</v>
      </c>
      <c r="S17" s="1172" t="s">
        <v>1509</v>
      </c>
      <c r="T17" s="2103" t="s">
        <v>1510</v>
      </c>
      <c r="U17" s="2117"/>
      <c r="V17" s="2239"/>
      <c r="W17" s="2242"/>
      <c r="X17" s="2007"/>
    </row>
    <row r="18" spans="1:29" s="1708" customFormat="1" ht="11.25" customHeight="1">
      <c r="A18" s="1140"/>
      <c r="B18" s="1140"/>
      <c r="C18" s="1140"/>
      <c r="D18" s="1140"/>
      <c r="E18" s="1140"/>
      <c r="F18" s="1166"/>
      <c r="G18" s="1166"/>
      <c r="H18" s="1166"/>
      <c r="I18" s="1117"/>
      <c r="J18" s="1118"/>
      <c r="K18" s="1133">
        <v>1</v>
      </c>
      <c r="L18" s="1158" t="s">
        <v>108</v>
      </c>
      <c r="M18" s="1134" t="s">
        <v>109</v>
      </c>
      <c r="N18" s="1116" t="str">
        <f ca="1">OFFSET(N18,0,-1)</f>
        <v>2</v>
      </c>
      <c r="O18" s="1169">
        <f ca="1">OFFSET(O18,0,-1)+1</f>
        <v>3</v>
      </c>
      <c r="P18" s="1169"/>
      <c r="Q18" s="1169">
        <f ca="1">OFFSET(Q18,0,-1)+1</f>
        <v>1</v>
      </c>
      <c r="R18" s="1169">
        <f ca="1">OFFSET(R18,0,-1)+1</f>
        <v>2</v>
      </c>
      <c r="S18" s="1169">
        <f ca="1">OFFSET(S18,0,-1)+1</f>
        <v>3</v>
      </c>
      <c r="T18" s="2231">
        <f ca="1">OFFSET(T18,0,-1)+1</f>
        <v>4</v>
      </c>
      <c r="U18" s="2231"/>
      <c r="V18" s="1169">
        <f ca="1">OFFSET(V18,0,-2)+1</f>
        <v>5</v>
      </c>
      <c r="W18" s="1116">
        <f ca="1">OFFSET(W18,0,-1)</f>
        <v>5</v>
      </c>
      <c r="X18" s="1169">
        <f ca="1">OFFSET(X18,0,-1)+1</f>
        <v>6</v>
      </c>
      <c r="Y18" s="439"/>
      <c r="Z18" s="439"/>
      <c r="AA18" s="439"/>
      <c r="AB18" s="439"/>
      <c r="AC18" s="439"/>
    </row>
    <row r="19" spans="1:29" ht="21" customHeight="1">
      <c r="A19" s="1147" t="s">
        <v>1566</v>
      </c>
      <c r="B19" s="1147" t="s">
        <v>1567</v>
      </c>
      <c r="C19" s="1147" t="s">
        <v>1568</v>
      </c>
      <c r="D19" s="1147" t="s">
        <v>1569</v>
      </c>
      <c r="E19" s="1147"/>
      <c r="F19" s="602"/>
      <c r="G19" s="602"/>
      <c r="H19" s="602"/>
      <c r="I19" s="285"/>
      <c r="J19" s="284"/>
      <c r="K19" s="279"/>
      <c r="L19" s="1173" t="e">
        <f>INDEX(PT_DIFFERENTIATION_NUM_NTAR,MATCH(A19,PT_DIFFERENTIATION_NTAR_ID,0))</f>
        <v>#N/A</v>
      </c>
      <c r="M19" s="216" t="s">
        <v>124</v>
      </c>
      <c r="N19" s="218"/>
      <c r="O19" s="2277" t="e">
        <f>INDEX(PT_DIFFERENTIATION_NTAR,MATCH(A19,PT_DIFFERENTIATION_NTAR_ID,0))</f>
        <v>#N/A</v>
      </c>
      <c r="P19" s="2277"/>
      <c r="Q19" s="2277"/>
      <c r="R19" s="2277"/>
      <c r="S19" s="2277"/>
      <c r="T19" s="2277"/>
      <c r="U19" s="2277"/>
      <c r="V19" s="2277"/>
      <c r="W19" s="2277"/>
      <c r="X19" s="1138" t="s">
        <v>1462</v>
      </c>
      <c r="Z19" s="428"/>
      <c r="AA19" s="428" t="str">
        <f t="shared" ref="AA19:AA32" si="0">IF(M19="","",M19)</f>
        <v>Наименование тарифа</v>
      </c>
      <c r="AB19" s="428"/>
      <c r="AC19" s="428"/>
    </row>
    <row r="20" spans="1:29" ht="21" customHeight="1">
      <c r="A20" s="1147" t="s">
        <v>1566</v>
      </c>
      <c r="B20" s="1147" t="s">
        <v>1567</v>
      </c>
      <c r="C20" s="1147" t="s">
        <v>1568</v>
      </c>
      <c r="D20" s="1147" t="s">
        <v>1569</v>
      </c>
      <c r="E20" s="1147"/>
      <c r="F20" s="602"/>
      <c r="G20" s="602"/>
      <c r="H20" s="602"/>
      <c r="I20" s="1170"/>
      <c r="J20" s="276"/>
      <c r="K20" s="277"/>
      <c r="L20" s="1173" t="e">
        <f>INDEX(PT_DIFFERENTIATION_NUM_TER,MATCH(B19,PT_DIFFERENTIATION_TER_ID,0))</f>
        <v>#N/A</v>
      </c>
      <c r="M20" s="228" t="s">
        <v>1463</v>
      </c>
      <c r="N20" s="218"/>
      <c r="O20" s="2277" t="e">
        <f>INDEX(PT_DIFFERENTIATION_TER,MATCH(B19,PT_DIFFERENTIATION_TER_ID,0))</f>
        <v>#N/A</v>
      </c>
      <c r="P20" s="2277"/>
      <c r="Q20" s="2277"/>
      <c r="R20" s="2277"/>
      <c r="S20" s="2277"/>
      <c r="T20" s="2277"/>
      <c r="U20" s="2277"/>
      <c r="V20" s="2277"/>
      <c r="W20" s="2277"/>
      <c r="X20" s="1138" t="s">
        <v>1464</v>
      </c>
      <c r="Z20" s="428"/>
      <c r="AA20" s="428" t="str">
        <f t="shared" si="0"/>
        <v>Территория действия тарифа</v>
      </c>
      <c r="AB20" s="428"/>
      <c r="AC20" s="428"/>
    </row>
    <row r="21" spans="1:29" ht="22.5" customHeight="1">
      <c r="A21" s="1147" t="s">
        <v>1566</v>
      </c>
      <c r="B21" s="1147" t="s">
        <v>1567</v>
      </c>
      <c r="C21" s="1147" t="s">
        <v>1568</v>
      </c>
      <c r="D21" s="1147" t="s">
        <v>1569</v>
      </c>
      <c r="E21" s="1147"/>
      <c r="F21" s="602"/>
      <c r="G21" s="602"/>
      <c r="H21" s="602"/>
      <c r="I21" s="278"/>
      <c r="J21" s="276"/>
      <c r="K21" s="277"/>
      <c r="L21" s="1173" t="e">
        <f>INDEX(PT_DIFFERENTIATION_NUM_CS,MATCH(C19,PT_DIFFERENTIATION_CS_ID,0))</f>
        <v>#N/A</v>
      </c>
      <c r="M21" s="229" t="s">
        <v>1465</v>
      </c>
      <c r="N21" s="218"/>
      <c r="O21" s="2277" t="e">
        <f>INDEX(PT_DIFFERENTIATION_CS,MATCH(C19,PT_DIFFERENTIATION_CS_ID,0))</f>
        <v>#N/A</v>
      </c>
      <c r="P21" s="2277"/>
      <c r="Q21" s="2277"/>
      <c r="R21" s="2277"/>
      <c r="S21" s="2277"/>
      <c r="T21" s="2277"/>
      <c r="U21" s="2277"/>
      <c r="V21" s="2277"/>
      <c r="W21" s="2277"/>
      <c r="X21" s="1138" t="s">
        <v>1466</v>
      </c>
      <c r="Z21" s="428"/>
      <c r="AA21" s="428" t="str">
        <f t="shared" si="0"/>
        <v xml:space="preserve">Наименование системы теплоснабжения </v>
      </c>
      <c r="AB21" s="428"/>
      <c r="AC21" s="428"/>
    </row>
    <row r="22" spans="1:29" ht="21" customHeight="1">
      <c r="A22" s="1147" t="s">
        <v>1566</v>
      </c>
      <c r="B22" s="1147" t="s">
        <v>1567</v>
      </c>
      <c r="C22" s="1147" t="s">
        <v>1568</v>
      </c>
      <c r="D22" s="1147" t="s">
        <v>1569</v>
      </c>
      <c r="E22" s="1147"/>
      <c r="F22" s="602"/>
      <c r="G22" s="602"/>
      <c r="H22" s="602"/>
      <c r="I22" s="278"/>
      <c r="J22" s="276"/>
      <c r="K22" s="277"/>
      <c r="L22" s="1173" t="e">
        <f>INDEX(PT_DIFFERENTIATION_NUM_IST_TE,MATCH(D19,PT_DIFFERENTIATION_IST_TE_ID,0))</f>
        <v>#N/A</v>
      </c>
      <c r="M22" s="230" t="s">
        <v>1467</v>
      </c>
      <c r="N22" s="218"/>
      <c r="O22" s="2277" t="e">
        <f>INDEX(PT_DIFFERENTIATION_IST_TE,MATCH(D19,PT_DIFFERENTIATION_IST_TE_ID,0))</f>
        <v>#N/A</v>
      </c>
      <c r="P22" s="2277"/>
      <c r="Q22" s="2277"/>
      <c r="R22" s="2277"/>
      <c r="S22" s="2277"/>
      <c r="T22" s="2277"/>
      <c r="U22" s="2277"/>
      <c r="V22" s="2277"/>
      <c r="W22" s="2277"/>
      <c r="X22" s="1138" t="s">
        <v>1468</v>
      </c>
      <c r="Z22" s="428"/>
      <c r="AA22" s="428" t="str">
        <f t="shared" si="0"/>
        <v xml:space="preserve">Источник тепловой энергии  </v>
      </c>
      <c r="AB22" s="428"/>
      <c r="AC22" s="428"/>
    </row>
    <row r="23" spans="1:29" ht="94.5" customHeight="1">
      <c r="A23" s="1147" t="s">
        <v>1566</v>
      </c>
      <c r="B23" s="1147" t="s">
        <v>1567</v>
      </c>
      <c r="C23" s="1147" t="s">
        <v>1568</v>
      </c>
      <c r="D23" s="1147" t="s">
        <v>1569</v>
      </c>
      <c r="E23" s="1147"/>
      <c r="F23" s="1992" t="e">
        <f>L22&amp;".1"</f>
        <v>#N/A</v>
      </c>
      <c r="I23" s="2143">
        <v>1</v>
      </c>
      <c r="J23" s="1171"/>
      <c r="K23" s="280"/>
      <c r="L23" s="1173" t="e">
        <f>$F$23</f>
        <v>#N/A</v>
      </c>
      <c r="M23" s="203" t="s">
        <v>1470</v>
      </c>
      <c r="N23" s="218"/>
      <c r="O23" s="2278"/>
      <c r="P23" s="2278"/>
      <c r="Q23" s="2278"/>
      <c r="R23" s="2278"/>
      <c r="S23" s="2278"/>
      <c r="T23" s="2278"/>
      <c r="U23" s="2278"/>
      <c r="V23" s="2278"/>
      <c r="W23" s="2278"/>
      <c r="X23" s="1138" t="s">
        <v>1471</v>
      </c>
      <c r="Z23" s="428"/>
      <c r="AA23" s="428" t="str">
        <f t="shared" si="0"/>
        <v>Схема подключения теплопотребляющей установки к коллектору источника тепловой энергии</v>
      </c>
      <c r="AB23" s="428"/>
      <c r="AC23" s="428"/>
    </row>
    <row r="24" spans="1:29" ht="84" customHeight="1">
      <c r="A24" s="1147" t="s">
        <v>1566</v>
      </c>
      <c r="B24" s="1147" t="s">
        <v>1567</v>
      </c>
      <c r="C24" s="1147" t="s">
        <v>1568</v>
      </c>
      <c r="D24" s="1147" t="s">
        <v>1569</v>
      </c>
      <c r="E24" s="1147"/>
      <c r="F24" s="1992"/>
      <c r="G24" s="1992" t="e">
        <f>F23&amp;".1"</f>
        <v>#N/A</v>
      </c>
      <c r="I24" s="2143"/>
      <c r="J24" s="2143">
        <v>1</v>
      </c>
      <c r="K24" s="281"/>
      <c r="L24" s="1173" t="e">
        <f>$G$24</f>
        <v>#N/A</v>
      </c>
      <c r="M24" s="204" t="s">
        <v>1473</v>
      </c>
      <c r="N24" s="218"/>
      <c r="O24" s="2279"/>
      <c r="P24" s="2280"/>
      <c r="Q24" s="2280"/>
      <c r="R24" s="2280"/>
      <c r="S24" s="2280"/>
      <c r="T24" s="2280"/>
      <c r="U24" s="2280"/>
      <c r="V24" s="2280"/>
      <c r="W24" s="2281"/>
      <c r="X24" s="1138" t="s">
        <v>1474</v>
      </c>
      <c r="Z24" s="428"/>
      <c r="AA24" s="428" t="str">
        <f t="shared" si="0"/>
        <v>Группа потребителей</v>
      </c>
      <c r="AB24" s="428"/>
      <c r="AC24" s="428"/>
    </row>
    <row r="25" spans="1:29" ht="11.25" customHeight="1">
      <c r="A25" s="1147" t="s">
        <v>1566</v>
      </c>
      <c r="B25" s="1147" t="s">
        <v>1567</v>
      </c>
      <c r="C25" s="1147" t="s">
        <v>1568</v>
      </c>
      <c r="D25" s="1147" t="s">
        <v>1569</v>
      </c>
      <c r="E25" s="1147"/>
      <c r="F25" s="1992"/>
      <c r="G25" s="1992"/>
      <c r="H25" s="1992" t="e">
        <f>G24&amp;".1"</f>
        <v>#N/A</v>
      </c>
      <c r="I25" s="2143"/>
      <c r="J25" s="2143"/>
      <c r="K25" s="281">
        <v>1</v>
      </c>
      <c r="L25" s="1173" t="e">
        <f>$H$25</f>
        <v>#N/A</v>
      </c>
      <c r="M25" s="1139"/>
      <c r="N25" s="218"/>
      <c r="O25" s="1664"/>
      <c r="P25" s="1665"/>
      <c r="Q25" s="1664"/>
      <c r="R25" s="1666"/>
      <c r="S25" s="2225"/>
      <c r="T25" s="2017" t="s">
        <v>62</v>
      </c>
      <c r="U25" s="2225"/>
      <c r="V25" s="2017" t="s">
        <v>55</v>
      </c>
      <c r="W25" s="1665"/>
      <c r="X25" s="2243" t="s">
        <v>1476</v>
      </c>
      <c r="Y25" s="439" t="e">
        <f ca="1">STRCHECKDATE(O26:W26)</f>
        <v>#NAME?</v>
      </c>
      <c r="Z25" s="428"/>
      <c r="AA25" s="428" t="str">
        <f t="shared" si="0"/>
        <v/>
      </c>
      <c r="AB25" s="428"/>
      <c r="AC25" s="428"/>
    </row>
    <row r="26" spans="1:29" ht="11.25" customHeight="1">
      <c r="A26" s="1147" t="s">
        <v>1566</v>
      </c>
      <c r="B26" s="1147" t="s">
        <v>1567</v>
      </c>
      <c r="C26" s="1147" t="s">
        <v>1568</v>
      </c>
      <c r="D26" s="1147" t="s">
        <v>1569</v>
      </c>
      <c r="E26" s="1147"/>
      <c r="F26" s="1992"/>
      <c r="G26" s="1992"/>
      <c r="H26" s="1992"/>
      <c r="I26" s="2143"/>
      <c r="J26" s="2143"/>
      <c r="K26" s="281"/>
      <c r="L26" s="1174"/>
      <c r="M26" s="218"/>
      <c r="N26" s="218"/>
      <c r="O26" s="1665"/>
      <c r="P26" s="1665"/>
      <c r="Q26" s="1665"/>
      <c r="R26" s="1667" t="str">
        <f>S25&amp;"-"&amp;U25</f>
        <v>-</v>
      </c>
      <c r="S26" s="2226"/>
      <c r="T26" s="2017"/>
      <c r="U26" s="2226"/>
      <c r="V26" s="2017"/>
      <c r="W26" s="1665"/>
      <c r="X26" s="2244"/>
      <c r="Z26" s="428"/>
      <c r="AA26" s="428" t="str">
        <f t="shared" si="0"/>
        <v/>
      </c>
      <c r="AB26" s="428"/>
      <c r="AC26" s="428"/>
    </row>
    <row r="27" spans="1:29" ht="15" customHeight="1">
      <c r="A27" s="1147" t="s">
        <v>1566</v>
      </c>
      <c r="B27" s="1147" t="s">
        <v>1567</v>
      </c>
      <c r="C27" s="1147" t="s">
        <v>1568</v>
      </c>
      <c r="D27" s="1147" t="s">
        <v>1569</v>
      </c>
      <c r="E27" s="1147"/>
      <c r="F27" s="1992"/>
      <c r="G27" s="1992"/>
      <c r="I27" s="2143"/>
      <c r="J27" s="2143"/>
      <c r="K27" s="280"/>
      <c r="L27" s="1159"/>
      <c r="M27" s="206" t="s">
        <v>1477</v>
      </c>
      <c r="N27" s="294"/>
      <c r="O27" s="294"/>
      <c r="P27" s="294"/>
      <c r="Q27" s="294"/>
      <c r="R27" s="294"/>
      <c r="S27" s="294"/>
      <c r="T27" s="294"/>
      <c r="U27" s="294"/>
      <c r="V27" s="294"/>
      <c r="W27" s="251"/>
      <c r="X27" s="2245"/>
      <c r="Z27" s="428"/>
      <c r="AA27" s="428" t="str">
        <f t="shared" si="0"/>
        <v>Добавить вид теплоносителя (параметры теплоносителя)</v>
      </c>
      <c r="AB27" s="428"/>
      <c r="AC27" s="428"/>
    </row>
    <row r="28" spans="1:29" ht="15" customHeight="1">
      <c r="A28" s="1147" t="s">
        <v>1566</v>
      </c>
      <c r="B28" s="1147" t="s">
        <v>1567</v>
      </c>
      <c r="C28" s="1147" t="s">
        <v>1568</v>
      </c>
      <c r="D28" s="1147" t="s">
        <v>1569</v>
      </c>
      <c r="E28" s="1147"/>
      <c r="F28" s="1992"/>
      <c r="I28" s="2143"/>
      <c r="J28" s="1171"/>
      <c r="K28" s="280"/>
      <c r="L28" s="1159"/>
      <c r="M28" s="205" t="s">
        <v>1478</v>
      </c>
      <c r="N28" s="294"/>
      <c r="O28" s="294"/>
      <c r="P28" s="294"/>
      <c r="Q28" s="294"/>
      <c r="R28" s="294"/>
      <c r="S28" s="294"/>
      <c r="T28" s="294"/>
      <c r="U28" s="294"/>
      <c r="V28" s="293"/>
      <c r="W28" s="294"/>
      <c r="X28" s="221"/>
      <c r="Z28" s="428"/>
      <c r="AA28" s="428" t="str">
        <f t="shared" si="0"/>
        <v>Добавить группу потребителей</v>
      </c>
      <c r="AB28" s="428"/>
      <c r="AC28" s="428"/>
    </row>
    <row r="29" spans="1:29" ht="14.25" customHeight="1">
      <c r="A29" s="1147" t="s">
        <v>1566</v>
      </c>
      <c r="B29" s="1147" t="s">
        <v>1567</v>
      </c>
      <c r="C29" s="1147" t="s">
        <v>1568</v>
      </c>
      <c r="D29" s="1147" t="s">
        <v>1569</v>
      </c>
      <c r="E29" s="1147"/>
      <c r="F29" s="602"/>
      <c r="G29" s="602"/>
      <c r="H29" s="437"/>
      <c r="I29" s="284"/>
      <c r="J29" s="303"/>
      <c r="K29" s="279"/>
      <c r="L29" s="1159"/>
      <c r="M29" s="291" t="s">
        <v>1479</v>
      </c>
      <c r="N29" s="294"/>
      <c r="O29" s="294"/>
      <c r="P29" s="294"/>
      <c r="Q29" s="294"/>
      <c r="R29" s="294"/>
      <c r="S29" s="294"/>
      <c r="T29" s="294"/>
      <c r="U29" s="294"/>
      <c r="V29" s="293"/>
      <c r="W29" s="294"/>
      <c r="X29" s="221"/>
      <c r="Z29" s="428"/>
      <c r="AA29" s="428" t="str">
        <f t="shared" si="0"/>
        <v>Добавить схему подключения</v>
      </c>
      <c r="AB29" s="428"/>
      <c r="AC29" s="428"/>
    </row>
    <row r="30" spans="1:29" ht="14.25" customHeight="1">
      <c r="A30" s="1147" t="s">
        <v>1566</v>
      </c>
      <c r="B30" s="1147" t="s">
        <v>1567</v>
      </c>
      <c r="C30" s="1147" t="s">
        <v>1568</v>
      </c>
      <c r="D30" s="1147"/>
      <c r="E30" s="1147" t="s">
        <v>1558</v>
      </c>
      <c r="F30" s="602"/>
      <c r="G30" s="602"/>
      <c r="H30" s="437"/>
      <c r="I30" s="284"/>
      <c r="J30" s="303"/>
      <c r="K30" s="279"/>
      <c r="L30" s="1160"/>
      <c r="M30" s="1149"/>
      <c r="N30" s="1150"/>
      <c r="O30" s="1150"/>
      <c r="P30" s="1150"/>
      <c r="Q30" s="1150"/>
      <c r="R30" s="1150"/>
      <c r="S30" s="1150"/>
      <c r="T30" s="1150"/>
      <c r="U30" s="1150"/>
      <c r="V30" s="1151"/>
      <c r="W30" s="1150"/>
      <c r="X30" s="1152"/>
      <c r="Z30" s="428"/>
      <c r="AA30" s="428" t="str">
        <f t="shared" si="0"/>
        <v/>
      </c>
      <c r="AB30" s="428"/>
      <c r="AC30" s="428"/>
    </row>
    <row r="31" spans="1:29" ht="14.25" customHeight="1">
      <c r="A31" s="1147" t="s">
        <v>1566</v>
      </c>
      <c r="B31" s="1147" t="s">
        <v>1567</v>
      </c>
      <c r="C31" s="1147"/>
      <c r="D31" s="1147"/>
      <c r="E31" s="1147" t="s">
        <v>1559</v>
      </c>
      <c r="F31" s="1136"/>
      <c r="G31" s="1136"/>
      <c r="H31" s="437"/>
      <c r="I31" s="282"/>
      <c r="J31" s="303"/>
      <c r="K31" s="283"/>
      <c r="L31" s="1160"/>
      <c r="M31" s="1153"/>
      <c r="N31" s="1150"/>
      <c r="O31" s="1150"/>
      <c r="P31" s="1150"/>
      <c r="Q31" s="1150"/>
      <c r="R31" s="1150"/>
      <c r="S31" s="1150"/>
      <c r="T31" s="1150"/>
      <c r="U31" s="1150"/>
      <c r="V31" s="1151"/>
      <c r="W31" s="1150"/>
      <c r="X31" s="1152"/>
      <c r="Z31" s="428"/>
      <c r="AA31" s="428" t="str">
        <f t="shared" si="0"/>
        <v/>
      </c>
      <c r="AB31" s="428"/>
      <c r="AC31" s="428"/>
    </row>
    <row r="32" spans="1:29" ht="14.25" customHeight="1">
      <c r="A32" s="1147" t="s">
        <v>1570</v>
      </c>
      <c r="B32" s="1147"/>
      <c r="C32" s="1147"/>
      <c r="D32" s="1147"/>
      <c r="E32" s="1147" t="s">
        <v>103</v>
      </c>
      <c r="F32" s="1136"/>
      <c r="G32" s="1136"/>
      <c r="H32" s="437"/>
      <c r="I32" s="284"/>
      <c r="J32" s="303"/>
      <c r="K32" s="279"/>
      <c r="L32" s="1160"/>
      <c r="M32" s="1154"/>
      <c r="N32" s="1150"/>
      <c r="O32" s="1150"/>
      <c r="P32" s="1150"/>
      <c r="Q32" s="1150"/>
      <c r="R32" s="1150"/>
      <c r="S32" s="1150"/>
      <c r="T32" s="1150"/>
      <c r="U32" s="1150"/>
      <c r="V32" s="1151"/>
      <c r="W32" s="1150"/>
      <c r="X32" s="1152"/>
      <c r="Z32" s="428"/>
      <c r="AA32" s="428" t="str">
        <f t="shared" si="0"/>
        <v/>
      </c>
      <c r="AB32" s="428"/>
      <c r="AC32" s="428"/>
    </row>
    <row r="33" spans="1:29" s="1969" customFormat="1" ht="11.25" customHeight="1">
      <c r="A33" s="1147"/>
      <c r="B33" s="1147"/>
      <c r="C33" s="1147"/>
      <c r="D33" s="1147"/>
      <c r="E33" s="1147" t="s">
        <v>1441</v>
      </c>
      <c r="F33" s="1148"/>
      <c r="G33" s="1137"/>
      <c r="H33" s="437"/>
      <c r="L33" s="1161"/>
      <c r="M33" s="1155"/>
      <c r="N33" s="1150"/>
      <c r="O33" s="1150"/>
      <c r="P33" s="1150"/>
      <c r="Q33" s="1150"/>
      <c r="R33" s="1150"/>
      <c r="S33" s="1150"/>
      <c r="T33" s="1150"/>
      <c r="U33" s="1150"/>
      <c r="V33" s="1151"/>
      <c r="W33" s="1150"/>
      <c r="X33" s="1152"/>
      <c r="Y33" s="309"/>
      <c r="Z33" s="309"/>
      <c r="AA33" s="309"/>
      <c r="AB33" s="309"/>
      <c r="AC33" s="309"/>
    </row>
    <row r="34" spans="1:29" ht="11.25" customHeight="1">
      <c r="F34" s="1029"/>
      <c r="G34" s="1029"/>
      <c r="H34" s="437"/>
      <c r="I34" s="1029"/>
      <c r="J34" s="1029"/>
      <c r="K34" s="1029"/>
      <c r="Y34" s="1029"/>
      <c r="Z34" s="1029"/>
      <c r="AA34" s="1029"/>
      <c r="AB34" s="1029"/>
      <c r="AC34" s="1029"/>
    </row>
    <row r="35" spans="1:29" ht="27" customHeight="1">
      <c r="H35" s="437"/>
      <c r="L35" s="1168" t="s">
        <v>1511</v>
      </c>
      <c r="M35" s="2220" t="s">
        <v>1518</v>
      </c>
      <c r="N35" s="2220"/>
      <c r="O35" s="2220"/>
      <c r="P35" s="2220"/>
      <c r="Q35" s="2220"/>
      <c r="R35" s="2220"/>
      <c r="S35" s="2220"/>
      <c r="T35" s="2220"/>
      <c r="U35" s="2220"/>
      <c r="V35" s="2220"/>
      <c r="W35" s="2220"/>
      <c r="X35" s="2220"/>
    </row>
    <row r="36" spans="1:29" ht="104.25" customHeight="1">
      <c r="F36" s="1187"/>
      <c r="G36" s="1187"/>
      <c r="H36" s="437"/>
      <c r="I36" s="1187"/>
      <c r="M36" s="2220" t="s">
        <v>1513</v>
      </c>
      <c r="N36" s="2220"/>
      <c r="O36" s="2220"/>
      <c r="P36" s="2220"/>
      <c r="Q36" s="2220"/>
      <c r="R36" s="2220"/>
      <c r="S36" s="2220"/>
      <c r="T36" s="2220"/>
      <c r="U36" s="2220"/>
      <c r="V36" s="2220"/>
      <c r="W36" s="2220"/>
      <c r="X36" s="2220"/>
    </row>
    <row r="37" spans="1:29" ht="14.25" customHeight="1">
      <c r="H37" s="437"/>
    </row>
    <row r="38" spans="1:29" ht="14.25" customHeight="1">
      <c r="H38" s="437"/>
    </row>
    <row r="39" spans="1:29" ht="14.25" customHeight="1">
      <c r="H39" s="437"/>
    </row>
    <row r="40" spans="1:29" ht="14.25" customHeight="1">
      <c r="H40" s="437"/>
    </row>
  </sheetData>
  <sheetProtection formatColumns="0" formatRows="0" insertRows="0" deleteColumns="0" deleteRows="0" sort="0" autoFilter="0"/>
  <mergeCells count="39">
    <mergeCell ref="M35:X35"/>
    <mergeCell ref="M36:X36"/>
    <mergeCell ref="S25:S26"/>
    <mergeCell ref="T25:T26"/>
    <mergeCell ref="U25:U26"/>
    <mergeCell ref="V25:V26"/>
    <mergeCell ref="X25:X27"/>
    <mergeCell ref="X14:X17"/>
    <mergeCell ref="L15:L17"/>
    <mergeCell ref="M15:M17"/>
    <mergeCell ref="O15:U15"/>
    <mergeCell ref="V15:V17"/>
    <mergeCell ref="W15:W17"/>
    <mergeCell ref="O16:O17"/>
    <mergeCell ref="P16:P17"/>
    <mergeCell ref="Q16:R16"/>
    <mergeCell ref="S16:U16"/>
    <mergeCell ref="T17:U17"/>
    <mergeCell ref="L5:U5"/>
    <mergeCell ref="L6:U6"/>
    <mergeCell ref="O8:U8"/>
    <mergeCell ref="O9:U9"/>
    <mergeCell ref="O10:U10"/>
    <mergeCell ref="O11:U11"/>
    <mergeCell ref="L12:M12"/>
    <mergeCell ref="O13:V13"/>
    <mergeCell ref="L14:W14"/>
    <mergeCell ref="T18:U18"/>
    <mergeCell ref="O19:W19"/>
    <mergeCell ref="O20:W20"/>
    <mergeCell ref="O21:W21"/>
    <mergeCell ref="O22:W22"/>
    <mergeCell ref="F23:F28"/>
    <mergeCell ref="I23:I28"/>
    <mergeCell ref="O23:W23"/>
    <mergeCell ref="G24:G27"/>
    <mergeCell ref="J24:J27"/>
    <mergeCell ref="O24:W24"/>
    <mergeCell ref="H25:H26"/>
  </mergeCells>
  <dataValidations count="8">
    <dataValidation allowBlank="1" sqref="L131099:X131105 L196635:X196641 L262171:X262177 L327707:X327713 L393243:X393249 L458779:X458785 L524315:X524321 L589851:X589857 L655387:X655393 L720923:X720929 L786459:X786465 L851995:X852001 L917531:X917537 L983067:X983073 L65563:X65569"/>
    <dataValidation allowBlank="1" promptTitle="checkPeriodRange" sqref="R26 R65562 R131098 R196634 R262170 R327706 R393242 R458778 R524314 R589850 R655386 R720922 R786458 R851994 R917530 R983066"/>
    <dataValidation allowBlank="1" showInputMessage="1" showErrorMessage="1" prompt="Для выбора выполните двойной щелчок левой клавиши мыши по соответствующей ячейке." sqref="T65561 T131097 T196633 T262169 T327705 T393241 T458777 T524313 T589849 T655385 T720921 T786457 T851993 T917529 T983065 V589849 V655385 V720921 V786457 V851993 V917529 V983065 V65561 V131097 V458777 V196633 V262169 V327705 V393241 V25 T25 V524313"/>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S65561 S131097 S196633 S262169 S327705 S393241 S458777 S524313 S589849 S655385 S720921 S786457 S851993 S917529 S983065 U65561 U131097 U196633 U262169 U327705 U393241 U458777 U524313 U589849 U655385 U720921 U786457 U851993 U917529 U983065 U25 S25"/>
    <dataValidation type="list" allowBlank="1" showInputMessage="1" showErrorMessage="1" errorTitle="Ошибка" error="Выберите значение из списка" sqref="M65561 M131097 M196633 M262169 M327705 M393241 M458777 M524313 M589849 M655385 M720921 M786457 M851993 M917529 M983065">
      <formula1>kind_of_heat_transfer</formula1>
    </dataValidation>
    <dataValidation type="textLength" operator="lessThanOrEqual" allowBlank="1" showInputMessage="1" showErrorMessage="1" errorTitle="Ошибка" error="Допускается ввод не более 900 символов!" sqref="X65555:X65562 X131091:X131098 X196627:X196634 X262163:X262170 X327699:X327706 X393235:X393242 X458771:X458778 X524307:X524314 X589843:X589850 X655379:X655386 X720915:X720922 X786451:X786458 X851987:X851994 X917523:X917530 X983059:X983066">
      <formula1>900</formula1>
    </dataValidation>
    <dataValidation type="list" allowBlank="1" showInputMessage="1" errorTitle="Ошибка" error="Выберите значение из списка" prompt="Выберите значение из списка" sqref="O983064:W983064 O65560:W65560 O131096:W131096 O196632:W196632 O262168:W262168 O327704:W327704 O393240:W393240 O458776:W458776 O524312:W524312 O589848:W589848 O655384:W655384 O720920:W720920 O786456:W786456 O851992:W851992 O917528:W917528">
      <formula1>kind_of_cons</formula1>
    </dataValidation>
    <dataValidation type="list" allowBlank="1" showInputMessage="1" showErrorMessage="1" errorTitle="Ошибка" error="Выберите значение из списка" sqref="O983063:P983063 O65559:P65559 O131095:P131095 O196631:P196631 O262167:P262167 O327703:P327703 O393239:P393239 O458775:P458775 O524311:P524311 O589847:P589847 O655383:P655383 O720919:P720919 O786455:P786455 O851991:P851991 O917527:P917527">
      <formula1>kind_of_scheme_in</formula1>
    </dataValidation>
  </dataValidation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39997558519241921"/>
  </sheetPr>
  <dimension ref="A1:AC32"/>
  <sheetViews>
    <sheetView showGridLines="0" topLeftCell="A4" workbookViewId="0"/>
  </sheetViews>
  <sheetFormatPr defaultColWidth="10.5703125" defaultRowHeight="14.25" customHeight="1"/>
  <cols>
    <col min="1" max="6" width="10.5703125" style="1755"/>
    <col min="7" max="8" width="9.140625" style="1692" customWidth="1"/>
    <col min="9" max="9" width="3.7109375" style="1720" customWidth="1"/>
    <col min="10" max="11" width="3.7109375" style="1674" customWidth="1"/>
    <col min="12" max="12" width="12.7109375" style="1829" customWidth="1"/>
    <col min="13" max="13" width="47.42578125" style="1829" customWidth="1"/>
    <col min="14" max="14" width="2.7109375" style="1829" hidden="1" customWidth="1"/>
    <col min="15" max="18" width="23.7109375" style="1829" customWidth="1"/>
    <col min="19" max="19" width="11.7109375" style="1829" customWidth="1"/>
    <col min="20" max="20" width="3.7109375" style="1829" customWidth="1"/>
    <col min="21" max="21" width="11.7109375" style="1829" customWidth="1"/>
    <col min="22" max="22" width="8.5703125" style="1829" hidden="1" customWidth="1"/>
    <col min="23" max="23" width="4.7109375" style="1829" customWidth="1"/>
    <col min="24" max="24" width="115.7109375" style="1829" customWidth="1"/>
    <col min="25" max="29" width="10.5703125" style="1755"/>
  </cols>
  <sheetData>
    <row r="1" spans="1:29" ht="14.25" hidden="1" customHeight="1"/>
    <row r="2" spans="1:29" ht="14.25" hidden="1" customHeight="1"/>
    <row r="3" spans="1:29" ht="14.25" hidden="1" customHeight="1"/>
    <row r="4" spans="1:29" ht="14.25" customHeight="1">
      <c r="J4" s="304"/>
      <c r="K4" s="304"/>
      <c r="L4" s="289"/>
      <c r="M4" s="289"/>
      <c r="N4" s="289"/>
      <c r="O4" s="437"/>
      <c r="P4" s="437"/>
      <c r="Q4" s="437"/>
      <c r="R4" s="437"/>
      <c r="S4" s="437"/>
      <c r="T4" s="437"/>
      <c r="U4" s="437"/>
      <c r="V4" s="289"/>
    </row>
    <row r="5" spans="1:29" ht="14.25" customHeight="1">
      <c r="J5" s="304"/>
      <c r="K5" s="304"/>
      <c r="L5" s="2287" t="s">
        <v>1571</v>
      </c>
      <c r="M5" s="2287"/>
      <c r="N5" s="2287"/>
      <c r="O5" s="2287"/>
      <c r="P5" s="2287"/>
      <c r="Q5" s="2287"/>
      <c r="R5" s="2287"/>
      <c r="S5" s="2287"/>
      <c r="T5" s="2287"/>
      <c r="U5" s="195"/>
      <c r="V5" s="195"/>
    </row>
    <row r="6" spans="1:29" ht="14.25" customHeight="1">
      <c r="J6" s="304"/>
      <c r="K6" s="304"/>
      <c r="L6" s="289"/>
      <c r="M6" s="289"/>
      <c r="N6" s="289"/>
      <c r="O6" s="248"/>
      <c r="P6" s="248"/>
      <c r="Q6" s="248"/>
      <c r="R6" s="248"/>
      <c r="S6" s="248"/>
      <c r="T6" s="248"/>
      <c r="U6" s="289"/>
    </row>
    <row r="7" spans="1:29" s="1933" customFormat="1" ht="22.5" customHeight="1">
      <c r="A7" s="295"/>
      <c r="B7" s="295"/>
      <c r="C7" s="295"/>
      <c r="D7" s="295"/>
      <c r="E7" s="295"/>
      <c r="F7" s="295"/>
      <c r="G7" s="295"/>
      <c r="H7" s="295"/>
      <c r="L7" s="196"/>
      <c r="M7" s="213" t="s">
        <v>38</v>
      </c>
      <c r="N7" s="222"/>
      <c r="O7" s="2288" t="e">
        <f>IF(NameOrPr_ch="",IF(NameOrPr="","",NameOrPr),NameOrPr_ch)</f>
        <v>#NAME?</v>
      </c>
      <c r="P7" s="2289"/>
      <c r="Q7" s="2289"/>
      <c r="R7" s="2289"/>
      <c r="S7" s="2289"/>
      <c r="T7" s="2290"/>
      <c r="U7" s="1119"/>
      <c r="Y7" s="295"/>
      <c r="Z7" s="295"/>
      <c r="AA7" s="295"/>
      <c r="AB7" s="295"/>
      <c r="AC7" s="295"/>
    </row>
    <row r="8" spans="1:29" s="1933" customFormat="1" ht="18.75" customHeight="1">
      <c r="A8" s="295"/>
      <c r="B8" s="295"/>
      <c r="C8" s="295"/>
      <c r="D8" s="295"/>
      <c r="E8" s="295"/>
      <c r="F8" s="295"/>
      <c r="G8" s="295"/>
      <c r="H8" s="295"/>
      <c r="L8" s="196"/>
      <c r="M8" s="213" t="s">
        <v>1486</v>
      </c>
      <c r="N8" s="222"/>
      <c r="O8" s="2288" t="e">
        <f>IF(datePr_ch="",IF(datePr="","",datePr),datePr_ch)</f>
        <v>#NAME?</v>
      </c>
      <c r="P8" s="2289"/>
      <c r="Q8" s="2289"/>
      <c r="R8" s="2289"/>
      <c r="S8" s="2289"/>
      <c r="T8" s="2290"/>
      <c r="U8" s="1119"/>
      <c r="Y8" s="295"/>
      <c r="Z8" s="295"/>
      <c r="AA8" s="295"/>
      <c r="AB8" s="295"/>
      <c r="AC8" s="295"/>
    </row>
    <row r="9" spans="1:29" s="1933" customFormat="1" ht="18.75" customHeight="1">
      <c r="A9" s="295"/>
      <c r="B9" s="295"/>
      <c r="C9" s="295"/>
      <c r="D9" s="295"/>
      <c r="E9" s="295"/>
      <c r="F9" s="295"/>
      <c r="G9" s="295"/>
      <c r="H9" s="295"/>
      <c r="L9" s="250"/>
      <c r="M9" s="213" t="s">
        <v>1487</v>
      </c>
      <c r="N9" s="222"/>
      <c r="O9" s="2288" t="e">
        <f>IF(numberPr_ch="",IF(numberPr="","",numberPr),numberPr_ch)</f>
        <v>#NAME?</v>
      </c>
      <c r="P9" s="2289"/>
      <c r="Q9" s="2289"/>
      <c r="R9" s="2289"/>
      <c r="S9" s="2289"/>
      <c r="T9" s="2290"/>
      <c r="U9" s="1119"/>
      <c r="Y9" s="295"/>
      <c r="Z9" s="295"/>
      <c r="AA9" s="295"/>
      <c r="AB9" s="295"/>
      <c r="AC9" s="295"/>
    </row>
    <row r="10" spans="1:29" s="1933" customFormat="1" ht="18.75" customHeight="1">
      <c r="A10" s="295"/>
      <c r="B10" s="295"/>
      <c r="C10" s="295"/>
      <c r="D10" s="295"/>
      <c r="E10" s="295"/>
      <c r="F10" s="295"/>
      <c r="G10" s="295"/>
      <c r="H10" s="295"/>
      <c r="L10" s="250"/>
      <c r="M10" s="213" t="s">
        <v>39</v>
      </c>
      <c r="N10" s="222"/>
      <c r="O10" s="2288" t="e">
        <f>IF(IstPub_ch="",IF(IstPub="","",IstPub),IstPub_ch)</f>
        <v>#NAME?</v>
      </c>
      <c r="P10" s="2289"/>
      <c r="Q10" s="2289"/>
      <c r="R10" s="2289"/>
      <c r="S10" s="2289"/>
      <c r="T10" s="2290"/>
      <c r="U10" s="1119"/>
      <c r="Y10" s="295"/>
      <c r="Z10" s="295"/>
      <c r="AA10" s="295"/>
      <c r="AB10" s="295"/>
      <c r="AC10" s="295"/>
    </row>
    <row r="11" spans="1:29" s="1933" customFormat="1" ht="18.75" hidden="1" customHeight="1">
      <c r="A11" s="1123"/>
      <c r="B11" s="1123"/>
      <c r="C11" s="1123"/>
      <c r="D11" s="1123"/>
      <c r="E11" s="1123"/>
      <c r="F11" s="1123"/>
      <c r="G11" s="1123"/>
      <c r="H11" s="1123"/>
      <c r="L11" s="250"/>
      <c r="M11" s="247"/>
      <c r="O11" s="1124"/>
      <c r="P11" s="1124"/>
      <c r="Q11" s="295" t="s">
        <v>1572</v>
      </c>
      <c r="R11" s="295" t="s">
        <v>1573</v>
      </c>
      <c r="S11" s="1124"/>
      <c r="T11" s="1124"/>
      <c r="U11" s="1119"/>
      <c r="Y11" s="1123"/>
      <c r="Z11" s="1123"/>
      <c r="AA11" s="1123"/>
      <c r="AB11" s="1123"/>
      <c r="AC11" s="1123"/>
    </row>
    <row r="12" spans="1:29" s="1933" customFormat="1" ht="11.25" hidden="1" customHeight="1">
      <c r="A12" s="295"/>
      <c r="B12" s="295"/>
      <c r="C12" s="295"/>
      <c r="D12" s="295"/>
      <c r="E12" s="295"/>
      <c r="F12" s="295"/>
      <c r="G12" s="295"/>
      <c r="H12" s="295"/>
      <c r="L12" s="2282"/>
      <c r="M12" s="2282"/>
      <c r="N12" s="1086"/>
      <c r="O12" s="253"/>
      <c r="P12" s="253"/>
      <c r="Q12" s="253"/>
      <c r="R12" s="253"/>
      <c r="S12" s="253"/>
      <c r="T12" s="253"/>
      <c r="U12" s="1122"/>
      <c r="V12" s="197" t="s">
        <v>1490</v>
      </c>
      <c r="Y12" s="295"/>
      <c r="Z12" s="295"/>
      <c r="AA12" s="295"/>
      <c r="AB12" s="295"/>
      <c r="AC12" s="295"/>
    </row>
    <row r="13" spans="1:29" ht="14.25" customHeight="1">
      <c r="J13" s="304"/>
      <c r="K13" s="304"/>
      <c r="L13" s="289"/>
      <c r="M13" s="289"/>
      <c r="N13" s="289"/>
      <c r="O13" s="1125"/>
      <c r="P13" s="1125"/>
      <c r="Q13" s="2285"/>
      <c r="R13" s="2285"/>
      <c r="S13" s="2285"/>
      <c r="T13" s="2285"/>
      <c r="U13" s="2285"/>
      <c r="V13" s="2285"/>
    </row>
    <row r="14" spans="1:29" ht="14.25" customHeight="1">
      <c r="J14" s="304"/>
      <c r="K14" s="304"/>
      <c r="L14" s="2007" t="s">
        <v>292</v>
      </c>
      <c r="M14" s="2007"/>
      <c r="N14" s="2007"/>
      <c r="O14" s="2007"/>
      <c r="P14" s="2007"/>
      <c r="Q14" s="2007"/>
      <c r="R14" s="2007"/>
      <c r="S14" s="2007"/>
      <c r="T14" s="2007"/>
      <c r="U14" s="2007"/>
      <c r="V14" s="2007"/>
      <c r="W14" s="2007"/>
      <c r="X14" s="2007" t="s">
        <v>293</v>
      </c>
    </row>
    <row r="15" spans="1:29" ht="14.25" customHeight="1">
      <c r="J15" s="304"/>
      <c r="K15" s="304"/>
      <c r="L15" s="2097" t="s">
        <v>87</v>
      </c>
      <c r="M15" s="2097" t="s">
        <v>1574</v>
      </c>
      <c r="N15" s="1085"/>
      <c r="O15" s="2097" t="s">
        <v>1575</v>
      </c>
      <c r="P15" s="2096" t="s">
        <v>1576</v>
      </c>
      <c r="Q15" s="2096" t="s">
        <v>1556</v>
      </c>
      <c r="R15" s="2096"/>
      <c r="S15" s="2096"/>
      <c r="T15" s="2096"/>
      <c r="U15" s="2096"/>
      <c r="V15" s="2097" t="s">
        <v>1493</v>
      </c>
      <c r="W15" s="2286" t="s">
        <v>1557</v>
      </c>
      <c r="X15" s="2007"/>
    </row>
    <row r="16" spans="1:29" ht="25.5" customHeight="1">
      <c r="J16" s="304"/>
      <c r="K16" s="304"/>
      <c r="L16" s="2097"/>
      <c r="M16" s="2097"/>
      <c r="N16" s="1085"/>
      <c r="O16" s="2097"/>
      <c r="P16" s="2096"/>
      <c r="Q16" s="2096" t="s">
        <v>1577</v>
      </c>
      <c r="R16" s="2096"/>
      <c r="S16" s="2007" t="s">
        <v>1517</v>
      </c>
      <c r="T16" s="2007"/>
      <c r="U16" s="2007"/>
      <c r="V16" s="2097"/>
      <c r="W16" s="2286"/>
      <c r="X16" s="2007"/>
    </row>
    <row r="17" spans="1:29" ht="14.25" customHeight="1">
      <c r="J17" s="304"/>
      <c r="K17" s="304"/>
      <c r="L17" s="2097"/>
      <c r="M17" s="2097"/>
      <c r="N17" s="1085"/>
      <c r="O17" s="2097"/>
      <c r="P17" s="2096"/>
      <c r="Q17" s="1085" t="s">
        <v>1552</v>
      </c>
      <c r="R17" s="1085" t="s">
        <v>1553</v>
      </c>
      <c r="S17" s="1089" t="s">
        <v>1509</v>
      </c>
      <c r="T17" s="2064" t="s">
        <v>1510</v>
      </c>
      <c r="U17" s="2064"/>
      <c r="V17" s="2097"/>
      <c r="W17" s="2286"/>
      <c r="X17" s="2007"/>
    </row>
    <row r="18" spans="1:29" ht="14.25" customHeight="1">
      <c r="J18" s="304"/>
      <c r="K18" s="209">
        <v>1</v>
      </c>
      <c r="L18" s="382" t="s">
        <v>108</v>
      </c>
      <c r="M18" s="382" t="s">
        <v>109</v>
      </c>
      <c r="N18" s="1121" t="s">
        <v>109</v>
      </c>
      <c r="O18" s="1087">
        <f t="shared" ref="O18:T18" ca="1" si="0">OFFSET(O18,0,-1)+1</f>
        <v>3</v>
      </c>
      <c r="P18" s="1087">
        <f t="shared" ca="1" si="0"/>
        <v>4</v>
      </c>
      <c r="Q18" s="1087">
        <f t="shared" ca="1" si="0"/>
        <v>5</v>
      </c>
      <c r="R18" s="1087">
        <f t="shared" ca="1" si="0"/>
        <v>6</v>
      </c>
      <c r="S18" s="1087">
        <f t="shared" ca="1" si="0"/>
        <v>7</v>
      </c>
      <c r="T18" s="2283">
        <f t="shared" ca="1" si="0"/>
        <v>8</v>
      </c>
      <c r="U18" s="2283"/>
      <c r="V18" s="1087">
        <f ca="1">OFFSET(V18,0,-2)+1</f>
        <v>9</v>
      </c>
      <c r="X18" s="1087">
        <f ca="1">OFFSET(X18,0,-2)+1</f>
        <v>10</v>
      </c>
    </row>
    <row r="19" spans="1:29" ht="22.5" customHeight="1">
      <c r="A19" s="2143">
        <v>1</v>
      </c>
      <c r="B19" s="446"/>
      <c r="C19" s="446"/>
      <c r="D19" s="446"/>
      <c r="E19" s="446"/>
      <c r="F19" s="446"/>
      <c r="G19" s="310"/>
      <c r="H19" s="310"/>
      <c r="I19" s="285"/>
      <c r="J19" s="304"/>
      <c r="K19" s="304"/>
      <c r="L19" s="1094" t="e">
        <f ca="1">MERGEVALUE(A19)</f>
        <v>#NAME?</v>
      </c>
      <c r="M19" s="216" t="s">
        <v>124</v>
      </c>
      <c r="N19" s="235"/>
      <c r="O19" s="2284"/>
      <c r="P19" s="2284"/>
      <c r="Q19" s="2284"/>
      <c r="R19" s="2284"/>
      <c r="S19" s="2284"/>
      <c r="T19" s="2284"/>
      <c r="U19" s="2284"/>
      <c r="V19" s="2284"/>
      <c r="W19" s="2284"/>
      <c r="X19" s="269" t="s">
        <v>1462</v>
      </c>
    </row>
    <row r="20" spans="1:29" ht="22.5" customHeight="1">
      <c r="A20" s="2143"/>
      <c r="B20" s="2143">
        <v>1</v>
      </c>
      <c r="C20" s="446"/>
      <c r="D20" s="446"/>
      <c r="E20" s="446"/>
      <c r="F20" s="446"/>
      <c r="G20" s="312"/>
      <c r="H20" s="1088"/>
      <c r="I20" s="287"/>
      <c r="J20" s="1095"/>
      <c r="K20" s="1029"/>
      <c r="L20" s="1094" t="e">
        <f ca="1">MERGEVALUE(A20)&amp;"."&amp;MERGEVALUE(B20)</f>
        <v>#NAME?</v>
      </c>
      <c r="M20" s="228" t="s">
        <v>1463</v>
      </c>
      <c r="N20" s="235"/>
      <c r="O20" s="2284"/>
      <c r="P20" s="2284"/>
      <c r="Q20" s="2284"/>
      <c r="R20" s="2284"/>
      <c r="S20" s="2284"/>
      <c r="T20" s="2284"/>
      <c r="U20" s="2284"/>
      <c r="V20" s="2284"/>
      <c r="W20" s="2284"/>
      <c r="X20" s="269" t="s">
        <v>1464</v>
      </c>
    </row>
    <row r="21" spans="1:29" ht="22.5" customHeight="1">
      <c r="A21" s="2143"/>
      <c r="B21" s="2143"/>
      <c r="C21" s="2143">
        <v>1</v>
      </c>
      <c r="D21" s="446"/>
      <c r="E21" s="446"/>
      <c r="F21" s="446"/>
      <c r="G21" s="312"/>
      <c r="H21" s="1088"/>
      <c r="I21" s="288"/>
      <c r="J21" s="1095"/>
      <c r="K21" s="1029"/>
      <c r="L21" s="1094" t="e">
        <f ca="1">MERGEVALUE(A21)&amp;"."&amp;MERGEVALUE(B21)&amp;"."&amp;MERGEVALUE(C21)</f>
        <v>#NAME?</v>
      </c>
      <c r="M21" s="229" t="s">
        <v>1465</v>
      </c>
      <c r="N21" s="235"/>
      <c r="O21" s="2284"/>
      <c r="P21" s="2284"/>
      <c r="Q21" s="2284"/>
      <c r="R21" s="2284"/>
      <c r="S21" s="2284"/>
      <c r="T21" s="2284"/>
      <c r="U21" s="2284"/>
      <c r="V21" s="2284"/>
      <c r="W21" s="2284"/>
      <c r="X21" s="269" t="s">
        <v>1466</v>
      </c>
    </row>
    <row r="22" spans="1:29" ht="14.25" customHeight="1">
      <c r="A22" s="2143"/>
      <c r="B22" s="2143"/>
      <c r="C22" s="2143"/>
      <c r="D22" s="2143">
        <v>1</v>
      </c>
      <c r="E22" s="446"/>
      <c r="F22" s="446"/>
      <c r="G22" s="312"/>
      <c r="H22" s="1088"/>
      <c r="I22" s="288"/>
      <c r="J22" s="286"/>
      <c r="K22" s="1029"/>
      <c r="L22" s="1094" t="e">
        <f ca="1">MERGEVALUE(A22)&amp;"."&amp;MERGEVALUE(B22)&amp;"."&amp;MERGEVALUE(C22)&amp;"."&amp;MERGEVALUE(D22)</f>
        <v>#NAME?</v>
      </c>
      <c r="M22" s="230" t="s">
        <v>1467</v>
      </c>
      <c r="N22" s="235"/>
      <c r="O22" s="2284"/>
      <c r="P22" s="2284"/>
      <c r="Q22" s="2284"/>
      <c r="R22" s="2284"/>
      <c r="S22" s="2284"/>
      <c r="T22" s="2284"/>
      <c r="U22" s="2284"/>
      <c r="V22" s="2284"/>
      <c r="W22" s="2284"/>
      <c r="X22" s="262" t="s">
        <v>1578</v>
      </c>
    </row>
    <row r="23" spans="1:29" ht="22.5" customHeight="1">
      <c r="A23" s="2143"/>
      <c r="B23" s="2143"/>
      <c r="C23" s="2143"/>
      <c r="D23" s="2143"/>
      <c r="E23" s="446">
        <v>1</v>
      </c>
      <c r="F23" s="446"/>
      <c r="G23" s="312"/>
      <c r="H23" s="1088"/>
      <c r="I23" s="288"/>
      <c r="J23" s="286"/>
      <c r="K23" s="384"/>
      <c r="L23" s="1094" t="e">
        <f ca="1">MERGEVALUE(A23)&amp;"."&amp;MERGEVALUE(B23)&amp;"."&amp;MERGEVALUE(C23)&amp;"."&amp;MERGEVALUE(D23)&amp;"."&amp;MERGEVALUE(E23)</f>
        <v>#NAME?</v>
      </c>
      <c r="M23" s="306"/>
      <c r="N23" s="1091"/>
      <c r="O23" s="1644"/>
      <c r="P23" s="308"/>
      <c r="Q23" s="223"/>
      <c r="R23" s="223"/>
      <c r="S23" s="1591"/>
      <c r="T23" s="1084" t="s">
        <v>55</v>
      </c>
      <c r="U23" s="1127"/>
      <c r="V23" s="1084" t="s">
        <v>55</v>
      </c>
      <c r="W23" s="1128"/>
      <c r="X23" s="2053" t="s">
        <v>1579</v>
      </c>
      <c r="Y23" s="439" t="e">
        <f ca="1">STRCHECKDATETWO(N23:W23)</f>
        <v>#NAME?</v>
      </c>
    </row>
    <row r="24" spans="1:29" ht="14.25" hidden="1" customHeight="1">
      <c r="A24" s="2143"/>
      <c r="B24" s="2143"/>
      <c r="C24" s="2143"/>
      <c r="D24" s="2143"/>
      <c r="E24" s="446"/>
      <c r="F24" s="446"/>
      <c r="G24" s="312"/>
      <c r="H24" s="1088"/>
      <c r="I24" s="288"/>
      <c r="J24" s="286"/>
      <c r="K24" s="384"/>
      <c r="L24" s="1093"/>
      <c r="M24" s="231"/>
      <c r="N24" s="218"/>
      <c r="O24" s="218"/>
      <c r="P24" s="218"/>
      <c r="Q24" s="218"/>
      <c r="R24" s="1667" t="str">
        <f>S23&amp;"-"&amp;U23</f>
        <v>-</v>
      </c>
      <c r="S24" s="239"/>
      <c r="T24" s="236"/>
      <c r="U24" s="239"/>
      <c r="V24" s="218"/>
      <c r="W24" s="1129"/>
      <c r="X24" s="2054"/>
    </row>
    <row r="25" spans="1:29" ht="14.25" customHeight="1">
      <c r="A25" s="2143"/>
      <c r="B25" s="2143"/>
      <c r="C25" s="2143"/>
      <c r="D25" s="2143"/>
      <c r="E25" s="446"/>
      <c r="F25" s="446"/>
      <c r="G25" s="312"/>
      <c r="H25" s="1088"/>
      <c r="I25" s="288"/>
      <c r="J25" s="286"/>
      <c r="K25" s="384"/>
      <c r="L25" s="227"/>
      <c r="M25" s="291" t="s">
        <v>1543</v>
      </c>
      <c r="N25" s="290"/>
      <c r="O25" s="249"/>
      <c r="P25" s="249"/>
      <c r="Q25" s="249"/>
      <c r="R25" s="249"/>
      <c r="S25" s="252"/>
      <c r="T25" s="294"/>
      <c r="U25" s="293"/>
      <c r="V25" s="290"/>
      <c r="W25" s="290"/>
      <c r="X25" s="2055"/>
    </row>
    <row r="26" spans="1:29" s="1969" customFormat="1" ht="14.25" customHeight="1">
      <c r="A26" s="2143"/>
      <c r="B26" s="2143"/>
      <c r="C26" s="2143"/>
      <c r="D26" s="311"/>
      <c r="E26" s="311"/>
      <c r="F26" s="311"/>
      <c r="G26" s="312"/>
      <c r="H26" s="311"/>
      <c r="I26" s="288"/>
      <c r="J26" s="303"/>
      <c r="K26" s="305"/>
      <c r="L26" s="227"/>
      <c r="M26" s="299" t="s">
        <v>1558</v>
      </c>
      <c r="N26" s="290"/>
      <c r="O26" s="249"/>
      <c r="P26" s="249"/>
      <c r="Q26" s="249"/>
      <c r="R26" s="249"/>
      <c r="S26" s="252"/>
      <c r="T26" s="294"/>
      <c r="U26" s="293"/>
      <c r="V26" s="290"/>
      <c r="W26" s="294"/>
      <c r="X26" s="1130"/>
      <c r="Y26" s="309"/>
      <c r="Z26" s="309"/>
      <c r="AA26" s="309"/>
      <c r="AB26" s="309"/>
      <c r="AC26" s="309"/>
    </row>
    <row r="27" spans="1:29" s="1969" customFormat="1" ht="14.25" customHeight="1">
      <c r="A27" s="2143"/>
      <c r="B27" s="2143"/>
      <c r="C27" s="311"/>
      <c r="D27" s="311"/>
      <c r="E27" s="311"/>
      <c r="F27" s="311"/>
      <c r="G27" s="312"/>
      <c r="H27" s="311"/>
      <c r="I27" s="284"/>
      <c r="J27" s="303"/>
      <c r="K27" s="305"/>
      <c r="L27" s="227"/>
      <c r="M27" s="290" t="s">
        <v>1559</v>
      </c>
      <c r="N27" s="290"/>
      <c r="O27" s="249"/>
      <c r="P27" s="249"/>
      <c r="Q27" s="249"/>
      <c r="R27" s="249"/>
      <c r="S27" s="252"/>
      <c r="T27" s="294"/>
      <c r="U27" s="293"/>
      <c r="V27" s="290"/>
      <c r="W27" s="294"/>
      <c r="X27" s="251"/>
      <c r="Y27" s="309"/>
      <c r="Z27" s="309"/>
      <c r="AA27" s="309"/>
      <c r="AB27" s="309"/>
      <c r="AC27" s="309"/>
    </row>
    <row r="28" spans="1:29" s="1969" customFormat="1" ht="14.25" customHeight="1">
      <c r="A28" s="2143"/>
      <c r="B28" s="311"/>
      <c r="C28" s="311"/>
      <c r="D28" s="311"/>
      <c r="E28" s="311"/>
      <c r="F28" s="311"/>
      <c r="G28" s="312"/>
      <c r="H28" s="311"/>
      <c r="I28" s="284"/>
      <c r="J28" s="303"/>
      <c r="K28" s="305"/>
      <c r="L28" s="227"/>
      <c r="M28" s="350" t="s">
        <v>103</v>
      </c>
      <c r="N28" s="290"/>
      <c r="O28" s="249"/>
      <c r="P28" s="249"/>
      <c r="Q28" s="249"/>
      <c r="R28" s="249"/>
      <c r="S28" s="252"/>
      <c r="T28" s="294"/>
      <c r="U28" s="293"/>
      <c r="V28" s="290"/>
      <c r="W28" s="294"/>
      <c r="X28" s="251"/>
      <c r="Y28" s="309"/>
      <c r="Z28" s="309"/>
      <c r="AA28" s="309"/>
      <c r="AB28" s="309"/>
      <c r="AC28" s="309"/>
    </row>
    <row r="29" spans="1:29" s="1969" customFormat="1" ht="14.25" customHeight="1">
      <c r="G29" s="292"/>
      <c r="H29" s="305"/>
      <c r="I29" s="302"/>
      <c r="J29" s="303"/>
      <c r="L29" s="227"/>
      <c r="M29" s="351" t="s">
        <v>1441</v>
      </c>
      <c r="N29" s="290"/>
      <c r="O29" s="249"/>
      <c r="P29" s="249"/>
      <c r="Q29" s="249"/>
      <c r="R29" s="249"/>
      <c r="S29" s="252"/>
      <c r="T29" s="294"/>
      <c r="U29" s="293"/>
      <c r="V29" s="290"/>
      <c r="W29" s="294"/>
      <c r="X29" s="251"/>
      <c r="Y29" s="309"/>
      <c r="Z29" s="309"/>
      <c r="AA29" s="309"/>
      <c r="AB29" s="309"/>
      <c r="AC29" s="309"/>
    </row>
    <row r="31" spans="1:29" ht="14.25" customHeight="1">
      <c r="L31" s="6">
        <v>1</v>
      </c>
      <c r="M31" s="2220" t="s">
        <v>1580</v>
      </c>
      <c r="N31" s="2220"/>
      <c r="O31" s="2220"/>
      <c r="P31" s="2220"/>
      <c r="Q31" s="2220"/>
      <c r="R31" s="2220"/>
      <c r="S31" s="2220"/>
      <c r="T31" s="2220"/>
      <c r="U31" s="2220"/>
      <c r="V31" s="2220"/>
      <c r="W31" s="2220"/>
      <c r="X31" s="2220"/>
      <c r="Y31" s="1131"/>
      <c r="Z31" s="296"/>
      <c r="AA31" s="296"/>
      <c r="AB31" s="296"/>
      <c r="AC31" s="296"/>
    </row>
    <row r="32" spans="1:29" ht="14.25" customHeight="1">
      <c r="M32" s="1132"/>
      <c r="N32" s="1132"/>
      <c r="O32" s="1132"/>
      <c r="P32" s="1132"/>
      <c r="Q32" s="1132"/>
      <c r="R32" s="1132"/>
      <c r="S32" s="1132"/>
      <c r="T32" s="1132"/>
      <c r="U32" s="1132"/>
      <c r="V32" s="1132"/>
      <c r="W32" s="1132"/>
      <c r="X32" s="1132"/>
      <c r="Y32" s="438"/>
      <c r="Z32" s="438"/>
      <c r="AA32" s="438"/>
      <c r="AB32" s="438"/>
      <c r="AC32" s="438"/>
    </row>
  </sheetData>
  <sheetProtection formatColumns="0" formatRows="0" insertRows="0" deleteColumns="0" deleteRows="0" sort="0" autoFilter="0"/>
  <mergeCells count="30">
    <mergeCell ref="L12:M12"/>
    <mergeCell ref="L5:T5"/>
    <mergeCell ref="O7:T7"/>
    <mergeCell ref="O8:T8"/>
    <mergeCell ref="O9:T9"/>
    <mergeCell ref="O10:T10"/>
    <mergeCell ref="Q13:V13"/>
    <mergeCell ref="L14:W14"/>
    <mergeCell ref="X14:X17"/>
    <mergeCell ref="L15:L17"/>
    <mergeCell ref="M15:M17"/>
    <mergeCell ref="O15:O17"/>
    <mergeCell ref="P15:P17"/>
    <mergeCell ref="Q15:U15"/>
    <mergeCell ref="V15:V17"/>
    <mergeCell ref="W15:W17"/>
    <mergeCell ref="A19:A28"/>
    <mergeCell ref="O19:W19"/>
    <mergeCell ref="B20:B27"/>
    <mergeCell ref="O20:W20"/>
    <mergeCell ref="C21:C26"/>
    <mergeCell ref="O21:W21"/>
    <mergeCell ref="D22:D25"/>
    <mergeCell ref="O22:W22"/>
    <mergeCell ref="X23:X25"/>
    <mergeCell ref="M31:X31"/>
    <mergeCell ref="Q16:R16"/>
    <mergeCell ref="S16:U16"/>
    <mergeCell ref="T17:U17"/>
    <mergeCell ref="T18:U18"/>
  </mergeCells>
  <dataValidations count="8">
    <dataValidation allowBlank="1" prompt="Для выбора выполните двойной щелчок левой клавиши мыши по соответствующей ячейке." sqref="IX25:JJ29 ST25:TF29 ACP25:ADB29 AML25:AMX29 AWH25:AWT29 BGD25:BGP29 BPZ25:BQL29 BZV25:CAH29 CJR25:CKD29 CTN25:CTZ29 DDJ25:DDV29 DNF25:DNR29 DXB25:DXN29 EGX25:EHJ29 EQT25:ERF29 FAP25:FBB29 FKL25:FKX29 FUH25:FUT29 GED25:GEP29 GNZ25:GOL29 GXV25:GYH29 HHR25:HID29 HRN25:HRZ29 IBJ25:IBV29 ILF25:ILR29 IVB25:IVN29 JEX25:JFJ29 JOT25:JPF29 JYP25:JZB29 KIL25:KIX29 KSH25:KST29 LCD25:LCP29 LLZ25:LML29 LVV25:LWH29 MFR25:MGD29 MPN25:MPZ29 MZJ25:MZV29 NJF25:NJR29 NTB25:NTN29 OCX25:ODJ29 OMT25:ONF29 OWP25:OXB29 PGL25:PGX29 PQH25:PQT29 QAD25:QAP29 QJZ25:QKL29 QTV25:QUH29 RDR25:RED29 RNN25:RNZ29 RXJ25:RXV29 SHF25:SHR29 SRB25:SRN29 TAX25:TBJ29 TKT25:TLF29 TUP25:TVB29 UEL25:UEX29 UOH25:UOT29 UYD25:UYP29 VHZ25:VIL29 VRV25:VSH29 WBR25:WCD29 WLN25:WLZ29 WVJ25:WVV29 IX65561:JJ65565 ST65561:TF65565 ACP65561:ADB65565 AML65561:AMX65565 AWH65561:AWT65565 BGD65561:BGP65565 BPZ65561:BQL65565 BZV65561:CAH65565 CJR65561:CKD65565 CTN65561:CTZ65565 DDJ65561:DDV65565 DNF65561:DNR65565 DXB65561:DXN65565 EGX65561:EHJ65565 EQT65561:ERF65565 FAP65561:FBB65565 FKL65561:FKX65565 FUH65561:FUT65565 GED65561:GEP65565 GNZ65561:GOL65565 GXV65561:GYH65565 HHR65561:HID65565 HRN65561:HRZ65565 IBJ65561:IBV65565 ILF65561:ILR65565 IVB65561:IVN65565 JEX65561:JFJ65565 JOT65561:JPF65565 JYP65561:JZB65565 KIL65561:KIX65565 KSH65561:KST65565 LCD65561:LCP65565 LLZ65561:LML65565 LVV65561:LWH65565 MFR65561:MGD65565 MPN65561:MPZ65565 MZJ65561:MZV65565 NJF65561:NJR65565 NTB65561:NTN65565 OCX65561:ODJ65565 OMT65561:ONF65565 OWP65561:OXB65565 PGL65561:PGX65565 PQH65561:PQT65565 QAD65561:QAP65565 QJZ65561:QKL65565 QTV65561:QUH65565 RDR65561:RED65565 RNN65561:RNZ65565 RXJ65561:RXV65565 SHF65561:SHR65565 SRB65561:SRN65565 TAX65561:TBJ65565 TKT65561:TLF65565 TUP65561:TVB65565 UEL65561:UEX65565 UOH65561:UOT65565 UYD65561:UYP65565 VHZ65561:VIL65565 VRV65561:VSH65565 WBR65561:WCD65565 WLN65561:WLZ65565 WVJ65561:WVV65565 IX131097:JJ131101 ST131097:TF131101 ACP131097:ADB131101 AML131097:AMX131101 AWH131097:AWT131101 BGD131097:BGP131101 BPZ131097:BQL131101 BZV131097:CAH131101 CJR131097:CKD131101 CTN131097:CTZ131101 DDJ131097:DDV131101 DNF131097:DNR131101 DXB131097:DXN131101 EGX131097:EHJ131101 EQT131097:ERF131101 FAP131097:FBB131101 FKL131097:FKX131101 FUH131097:FUT131101 GED131097:GEP131101 GNZ131097:GOL131101 GXV131097:GYH131101 HHR131097:HID131101 HRN131097:HRZ131101 IBJ131097:IBV131101 ILF131097:ILR131101 IVB131097:IVN131101 JEX131097:JFJ131101 JOT131097:JPF131101 JYP131097:JZB131101 KIL131097:KIX131101 KSH131097:KST131101 LCD131097:LCP131101 LLZ131097:LML131101 LVV131097:LWH131101 MFR131097:MGD131101 MPN131097:MPZ131101 MZJ131097:MZV131101 NJF131097:NJR131101 NTB131097:NTN131101 OCX131097:ODJ131101 OMT131097:ONF131101 OWP131097:OXB131101 PGL131097:PGX131101 PQH131097:PQT131101 QAD131097:QAP131101 QJZ131097:QKL131101 QTV131097:QUH131101 RDR131097:RED131101 RNN131097:RNZ131101 RXJ131097:RXV131101 SHF131097:SHR131101 SRB131097:SRN131101 TAX131097:TBJ131101 TKT131097:TLF131101 TUP131097:TVB131101 UEL131097:UEX131101 UOH131097:UOT131101 UYD131097:UYP131101 VHZ131097:VIL131101 VRV131097:VSH131101 WBR131097:WCD131101 WLN131097:WLZ131101 WVJ131097:WVV131101 IX196633:JJ196637 ST196633:TF196637 ACP196633:ADB196637 AML196633:AMX196637 AWH196633:AWT196637 BGD196633:BGP196637 BPZ196633:BQL196637 BZV196633:CAH196637 CJR196633:CKD196637 CTN196633:CTZ196637 DDJ196633:DDV196637 DNF196633:DNR196637 DXB196633:DXN196637 EGX196633:EHJ196637 EQT196633:ERF196637 FAP196633:FBB196637 FKL196633:FKX196637 FUH196633:FUT196637 GED196633:GEP196637 GNZ196633:GOL196637 GXV196633:GYH196637 HHR196633:HID196637 HRN196633:HRZ196637 IBJ196633:IBV196637 ILF196633:ILR196637 IVB196633:IVN196637 JEX196633:JFJ196637 JOT196633:JPF196637 JYP196633:JZB196637 KIL196633:KIX196637 KSH196633:KST196637 LCD196633:LCP196637 LLZ196633:LML196637 LVV196633:LWH196637 MFR196633:MGD196637 MPN196633:MPZ196637 MZJ196633:MZV196637 NJF196633:NJR196637 NTB196633:NTN196637 OCX196633:ODJ196637 OMT196633:ONF196637 OWP196633:OXB196637 PGL196633:PGX196637 PQH196633:PQT196637 QAD196633:QAP196637 QJZ196633:QKL196637 QTV196633:QUH196637 RDR196633:RED196637 RNN196633:RNZ196637 RXJ196633:RXV196637 SHF196633:SHR196637 SRB196633:SRN196637 TAX196633:TBJ196637 TKT196633:TLF196637 TUP196633:TVB196637 UEL196633:UEX196637 UOH196633:UOT196637 UYD196633:UYP196637 VHZ196633:VIL196637 VRV196633:VSH196637 WBR196633:WCD196637 WLN196633:WLZ196637 WVJ196633:WVV196637 IX262169:JJ262173 ST262169:TF262173 ACP262169:ADB262173 AML262169:AMX262173 AWH262169:AWT262173 BGD262169:BGP262173 BPZ262169:BQL262173 BZV262169:CAH262173 CJR262169:CKD262173 CTN262169:CTZ262173 DDJ262169:DDV262173 DNF262169:DNR262173 DXB262169:DXN262173 EGX262169:EHJ262173 EQT262169:ERF262173 FAP262169:FBB262173 FKL262169:FKX262173 FUH262169:FUT262173 GED262169:GEP262173 GNZ262169:GOL262173 GXV262169:GYH262173 HHR262169:HID262173 HRN262169:HRZ262173 IBJ262169:IBV262173 ILF262169:ILR262173 IVB262169:IVN262173 JEX262169:JFJ262173 JOT262169:JPF262173 JYP262169:JZB262173 KIL262169:KIX262173 KSH262169:KST262173 LCD262169:LCP262173 LLZ262169:LML262173 LVV262169:LWH262173 MFR262169:MGD262173 MPN262169:MPZ262173 MZJ262169:MZV262173 NJF262169:NJR262173 NTB262169:NTN262173 OCX262169:ODJ262173 OMT262169:ONF262173 OWP262169:OXB262173 PGL262169:PGX262173 PQH262169:PQT262173 QAD262169:QAP262173 QJZ262169:QKL262173 QTV262169:QUH262173 RDR262169:RED262173 RNN262169:RNZ262173 RXJ262169:RXV262173 SHF262169:SHR262173 SRB262169:SRN262173 TAX262169:TBJ262173 TKT262169:TLF262173 TUP262169:TVB262173 UEL262169:UEX262173 UOH262169:UOT262173 UYD262169:UYP262173 VHZ262169:VIL262173 VRV262169:VSH262173 WBR262169:WCD262173 WLN262169:WLZ262173 WVJ262169:WVV262173 IX327705:JJ327709 ST327705:TF327709 ACP327705:ADB327709 AML327705:AMX327709 AWH327705:AWT327709 BGD327705:BGP327709 BPZ327705:BQL327709 BZV327705:CAH327709 CJR327705:CKD327709 CTN327705:CTZ327709 DDJ327705:DDV327709 DNF327705:DNR327709 DXB327705:DXN327709 EGX327705:EHJ327709 EQT327705:ERF327709 FAP327705:FBB327709 FKL327705:FKX327709 FUH327705:FUT327709 GED327705:GEP327709 GNZ327705:GOL327709 GXV327705:GYH327709 HHR327705:HID327709 HRN327705:HRZ327709 IBJ327705:IBV327709 ILF327705:ILR327709 IVB327705:IVN327709 JEX327705:JFJ327709 JOT327705:JPF327709 JYP327705:JZB327709 KIL327705:KIX327709 KSH327705:KST327709 LCD327705:LCP327709 LLZ327705:LML327709 LVV327705:LWH327709 MFR327705:MGD327709 MPN327705:MPZ327709 MZJ327705:MZV327709 NJF327705:NJR327709 NTB327705:NTN327709 OCX327705:ODJ327709 OMT327705:ONF327709 OWP327705:OXB327709 PGL327705:PGX327709 PQH327705:PQT327709 QAD327705:QAP327709 QJZ327705:QKL327709 QTV327705:QUH327709 RDR327705:RED327709 RNN327705:RNZ327709 RXJ327705:RXV327709 SHF327705:SHR327709 SRB327705:SRN327709 TAX327705:TBJ327709 TKT327705:TLF327709 TUP327705:TVB327709 UEL327705:UEX327709 UOH327705:UOT327709 UYD327705:UYP327709 VHZ327705:VIL327709 VRV327705:VSH327709 WBR327705:WCD327709 WLN327705:WLZ327709 WVJ327705:WVV327709 IX393241:JJ393245 ST393241:TF393245 ACP393241:ADB393245 AML393241:AMX393245 AWH393241:AWT393245 BGD393241:BGP393245 BPZ393241:BQL393245 BZV393241:CAH393245 CJR393241:CKD393245 CTN393241:CTZ393245 DDJ393241:DDV393245 DNF393241:DNR393245 DXB393241:DXN393245 EGX393241:EHJ393245 EQT393241:ERF393245 FAP393241:FBB393245 FKL393241:FKX393245 FUH393241:FUT393245 GED393241:GEP393245 GNZ393241:GOL393245 GXV393241:GYH393245 HHR393241:HID393245 HRN393241:HRZ393245 IBJ393241:IBV393245 ILF393241:ILR393245 IVB393241:IVN393245 JEX393241:JFJ393245 JOT393241:JPF393245 JYP393241:JZB393245 KIL393241:KIX393245 KSH393241:KST393245 LCD393241:LCP393245 LLZ393241:LML393245 LVV393241:LWH393245 MFR393241:MGD393245 MPN393241:MPZ393245 MZJ393241:MZV393245 NJF393241:NJR393245 NTB393241:NTN393245 OCX393241:ODJ393245 OMT393241:ONF393245 OWP393241:OXB393245 PGL393241:PGX393245 PQH393241:PQT393245 QAD393241:QAP393245 QJZ393241:QKL393245 QTV393241:QUH393245 RDR393241:RED393245 RNN393241:RNZ393245 RXJ393241:RXV393245 SHF393241:SHR393245 SRB393241:SRN393245 TAX393241:TBJ393245 TKT393241:TLF393245 TUP393241:TVB393245 UEL393241:UEX393245 UOH393241:UOT393245 UYD393241:UYP393245 VHZ393241:VIL393245 VRV393241:VSH393245 WBR393241:WCD393245 WLN393241:WLZ393245 WVJ393241:WVV393245 IX458777:JJ458781 ST458777:TF458781 ACP458777:ADB458781 AML458777:AMX458781 AWH458777:AWT458781 BGD458777:BGP458781 BPZ458777:BQL458781 BZV458777:CAH458781 CJR458777:CKD458781 CTN458777:CTZ458781 DDJ458777:DDV458781 DNF458777:DNR458781 DXB458777:DXN458781 EGX458777:EHJ458781 EQT458777:ERF458781 FAP458777:FBB458781 FKL458777:FKX458781 FUH458777:FUT458781 GED458777:GEP458781 GNZ458777:GOL458781 GXV458777:GYH458781 HHR458777:HID458781 HRN458777:HRZ458781 IBJ458777:IBV458781 ILF458777:ILR458781 IVB458777:IVN458781 JEX458777:JFJ458781 JOT458777:JPF458781 JYP458777:JZB458781 KIL458777:KIX458781 KSH458777:KST458781 LCD458777:LCP458781 LLZ458777:LML458781 LVV458777:LWH458781 MFR458777:MGD458781 MPN458777:MPZ458781 MZJ458777:MZV458781 NJF458777:NJR458781 NTB458777:NTN458781 OCX458777:ODJ458781 OMT458777:ONF458781 OWP458777:OXB458781 PGL458777:PGX458781 PQH458777:PQT458781 QAD458777:QAP458781 QJZ458777:QKL458781 QTV458777:QUH458781 RDR458777:RED458781 RNN458777:RNZ458781 RXJ458777:RXV458781 SHF458777:SHR458781 SRB458777:SRN458781 TAX458777:TBJ458781 TKT458777:TLF458781 TUP458777:TVB458781 UEL458777:UEX458781 UOH458777:UOT458781 UYD458777:UYP458781 VHZ458777:VIL458781 VRV458777:VSH458781 WBR458777:WCD458781 WLN458777:WLZ458781 WVJ458777:WVV458781 IX524313:JJ524317 ST524313:TF524317 ACP524313:ADB524317 AML524313:AMX524317 AWH524313:AWT524317 BGD524313:BGP524317 BPZ524313:BQL524317 BZV524313:CAH524317 CJR524313:CKD524317 CTN524313:CTZ524317 DDJ524313:DDV524317 DNF524313:DNR524317 DXB524313:DXN524317 EGX524313:EHJ524317 EQT524313:ERF524317 FAP524313:FBB524317 FKL524313:FKX524317 FUH524313:FUT524317 GED524313:GEP524317 GNZ524313:GOL524317 GXV524313:GYH524317 HHR524313:HID524317 HRN524313:HRZ524317 IBJ524313:IBV524317 ILF524313:ILR524317 IVB524313:IVN524317 JEX524313:JFJ524317 JOT524313:JPF524317 JYP524313:JZB524317 KIL524313:KIX524317 KSH524313:KST524317 LCD524313:LCP524317 LLZ524313:LML524317 LVV524313:LWH524317 MFR524313:MGD524317 MPN524313:MPZ524317 MZJ524313:MZV524317 NJF524313:NJR524317 NTB524313:NTN524317 OCX524313:ODJ524317 OMT524313:ONF524317 OWP524313:OXB524317 PGL524313:PGX524317 PQH524313:PQT524317 QAD524313:QAP524317 QJZ524313:QKL524317 QTV524313:QUH524317 RDR524313:RED524317 RNN524313:RNZ524317 RXJ524313:RXV524317 SHF524313:SHR524317 SRB524313:SRN524317 TAX524313:TBJ524317 TKT524313:TLF524317 TUP524313:TVB524317 UEL524313:UEX524317 UOH524313:UOT524317 UYD524313:UYP524317 VHZ524313:VIL524317 VRV524313:VSH524317 WBR524313:WCD524317 WLN524313:WLZ524317 WVJ524313:WVV524317 IX589849:JJ589853 ST589849:TF589853 ACP589849:ADB589853 AML589849:AMX589853 AWH589849:AWT589853 BGD589849:BGP589853 BPZ589849:BQL589853 BZV589849:CAH589853 CJR589849:CKD589853 CTN589849:CTZ589853 DDJ589849:DDV589853 DNF589849:DNR589853 DXB589849:DXN589853 EGX589849:EHJ589853 EQT589849:ERF589853 FAP589849:FBB589853 FKL589849:FKX589853 FUH589849:FUT589853 GED589849:GEP589853 GNZ589849:GOL589853 GXV589849:GYH589853 HHR589849:HID589853 HRN589849:HRZ589853 IBJ589849:IBV589853 ILF589849:ILR589853 IVB589849:IVN589853 JEX589849:JFJ589853 JOT589849:JPF589853 JYP589849:JZB589853 KIL589849:KIX589853 KSH589849:KST589853 LCD589849:LCP589853 LLZ589849:LML589853 LVV589849:LWH589853 MFR589849:MGD589853 MPN589849:MPZ589853 MZJ589849:MZV589853 NJF589849:NJR589853 NTB589849:NTN589853 OCX589849:ODJ589853 OMT589849:ONF589853 OWP589849:OXB589853 PGL589849:PGX589853 PQH589849:PQT589853 QAD589849:QAP589853 QJZ589849:QKL589853 QTV589849:QUH589853 RDR589849:RED589853 RNN589849:RNZ589853 RXJ589849:RXV589853 SHF589849:SHR589853 SRB589849:SRN589853 TAX589849:TBJ589853 TKT589849:TLF589853 TUP589849:TVB589853 UEL589849:UEX589853 UOH589849:UOT589853 UYD589849:UYP589853 VHZ589849:VIL589853 VRV589849:VSH589853 WBR589849:WCD589853 WLN589849:WLZ589853 WVJ589849:WVV589853 IX655385:JJ655389 ST655385:TF655389 ACP655385:ADB655389 AML655385:AMX655389 AWH655385:AWT655389 BGD655385:BGP655389 BPZ655385:BQL655389 BZV655385:CAH655389 CJR655385:CKD655389 CTN655385:CTZ655389 DDJ655385:DDV655389 DNF655385:DNR655389 DXB655385:DXN655389 EGX655385:EHJ655389 EQT655385:ERF655389 FAP655385:FBB655389 FKL655385:FKX655389 FUH655385:FUT655389 GED655385:GEP655389 GNZ655385:GOL655389 GXV655385:GYH655389 HHR655385:HID655389 HRN655385:HRZ655389 IBJ655385:IBV655389 ILF655385:ILR655389 IVB655385:IVN655389 JEX655385:JFJ655389 JOT655385:JPF655389 JYP655385:JZB655389 KIL655385:KIX655389 KSH655385:KST655389 LCD655385:LCP655389 LLZ655385:LML655389 LVV655385:LWH655389 MFR655385:MGD655389 MPN655385:MPZ655389 MZJ655385:MZV655389 NJF655385:NJR655389 NTB655385:NTN655389 OCX655385:ODJ655389 OMT655385:ONF655389 OWP655385:OXB655389 PGL655385:PGX655389 PQH655385:PQT655389 QAD655385:QAP655389 QJZ655385:QKL655389 QTV655385:QUH655389 RDR655385:RED655389 RNN655385:RNZ655389 RXJ655385:RXV655389 SHF655385:SHR655389 SRB655385:SRN655389 TAX655385:TBJ655389 TKT655385:TLF655389 TUP655385:TVB655389 UEL655385:UEX655389 UOH655385:UOT655389 UYD655385:UYP655389 VHZ655385:VIL655389 VRV655385:VSH655389 WBR655385:WCD655389 WLN655385:WLZ655389 WVJ655385:WVV655389 IX720921:JJ720925 ST720921:TF720925 ACP720921:ADB720925 AML720921:AMX720925 AWH720921:AWT720925 BGD720921:BGP720925 BPZ720921:BQL720925 BZV720921:CAH720925 CJR720921:CKD720925 CTN720921:CTZ720925 DDJ720921:DDV720925 DNF720921:DNR720925 DXB720921:DXN720925 EGX720921:EHJ720925 EQT720921:ERF720925 FAP720921:FBB720925 FKL720921:FKX720925 FUH720921:FUT720925 GED720921:GEP720925 GNZ720921:GOL720925 GXV720921:GYH720925 HHR720921:HID720925 HRN720921:HRZ720925 IBJ720921:IBV720925 ILF720921:ILR720925 IVB720921:IVN720925 JEX720921:JFJ720925 JOT720921:JPF720925 JYP720921:JZB720925 KIL720921:KIX720925 KSH720921:KST720925 LCD720921:LCP720925 LLZ720921:LML720925 LVV720921:LWH720925 MFR720921:MGD720925 MPN720921:MPZ720925 MZJ720921:MZV720925 NJF720921:NJR720925 NTB720921:NTN720925 OCX720921:ODJ720925 OMT720921:ONF720925 OWP720921:OXB720925 PGL720921:PGX720925 PQH720921:PQT720925 QAD720921:QAP720925 QJZ720921:QKL720925 QTV720921:QUH720925 RDR720921:RED720925 RNN720921:RNZ720925 RXJ720921:RXV720925 SHF720921:SHR720925 SRB720921:SRN720925 TAX720921:TBJ720925 TKT720921:TLF720925 TUP720921:TVB720925 UEL720921:UEX720925 UOH720921:UOT720925 UYD720921:UYP720925 VHZ720921:VIL720925 VRV720921:VSH720925 WBR720921:WCD720925 WLN720921:WLZ720925 WVJ720921:WVV720925 IX786457:JJ786461 ST786457:TF786461 ACP786457:ADB786461 AML786457:AMX786461 AWH786457:AWT786461 BGD786457:BGP786461 BPZ786457:BQL786461 BZV786457:CAH786461 CJR786457:CKD786461 CTN786457:CTZ786461 DDJ786457:DDV786461 DNF786457:DNR786461 DXB786457:DXN786461 EGX786457:EHJ786461 EQT786457:ERF786461 FAP786457:FBB786461 FKL786457:FKX786461 FUH786457:FUT786461 GED786457:GEP786461 GNZ786457:GOL786461 GXV786457:GYH786461 HHR786457:HID786461 HRN786457:HRZ786461 IBJ786457:IBV786461 ILF786457:ILR786461 IVB786457:IVN786461 JEX786457:JFJ786461 JOT786457:JPF786461 JYP786457:JZB786461 KIL786457:KIX786461 KSH786457:KST786461 LCD786457:LCP786461 LLZ786457:LML786461 LVV786457:LWH786461 MFR786457:MGD786461 MPN786457:MPZ786461 MZJ786457:MZV786461 NJF786457:NJR786461 NTB786457:NTN786461 OCX786457:ODJ786461 OMT786457:ONF786461 OWP786457:OXB786461 PGL786457:PGX786461 PQH786457:PQT786461 QAD786457:QAP786461 QJZ786457:QKL786461 QTV786457:QUH786461 RDR786457:RED786461 RNN786457:RNZ786461 RXJ786457:RXV786461 SHF786457:SHR786461 SRB786457:SRN786461 TAX786457:TBJ786461 TKT786457:TLF786461 TUP786457:TVB786461 UEL786457:UEX786461 UOH786457:UOT786461 UYD786457:UYP786461 VHZ786457:VIL786461 VRV786457:VSH786461 WBR786457:WCD786461 WLN786457:WLZ786461 WVJ786457:WVV786461 IX851993:JJ851997 ST851993:TF851997 ACP851993:ADB851997 AML851993:AMX851997 AWH851993:AWT851997 BGD851993:BGP851997 BPZ851993:BQL851997 BZV851993:CAH851997 CJR851993:CKD851997 CTN851993:CTZ851997 DDJ851993:DDV851997 DNF851993:DNR851997 DXB851993:DXN851997 EGX851993:EHJ851997 EQT851993:ERF851997 FAP851993:FBB851997 FKL851993:FKX851997 FUH851993:FUT851997 GED851993:GEP851997 GNZ851993:GOL851997 GXV851993:GYH851997 HHR851993:HID851997 HRN851993:HRZ851997 IBJ851993:IBV851997 ILF851993:ILR851997 IVB851993:IVN851997 JEX851993:JFJ851997 JOT851993:JPF851997 JYP851993:JZB851997 KIL851993:KIX851997 KSH851993:KST851997 LCD851993:LCP851997 LLZ851993:LML851997 LVV851993:LWH851997 MFR851993:MGD851997 MPN851993:MPZ851997 MZJ851993:MZV851997 NJF851993:NJR851997 NTB851993:NTN851997 OCX851993:ODJ851997 OMT851993:ONF851997 OWP851993:OXB851997 PGL851993:PGX851997 PQH851993:PQT851997 QAD851993:QAP851997 QJZ851993:QKL851997 QTV851993:QUH851997 RDR851993:RED851997 RNN851993:RNZ851997 RXJ851993:RXV851997 SHF851993:SHR851997 SRB851993:SRN851997 TAX851993:TBJ851997 TKT851993:TLF851997 TUP851993:TVB851997 UEL851993:UEX851997 UOH851993:UOT851997 UYD851993:UYP851997 VHZ851993:VIL851997 VRV851993:VSH851997 WBR851993:WCD851997 WLN851993:WLZ851997 WVJ851993:WVV851997 IX917529:JJ917533 ST917529:TF917533 ACP917529:ADB917533 AML917529:AMX917533 AWH917529:AWT917533 BGD917529:BGP917533 BPZ917529:BQL917533 BZV917529:CAH917533 CJR917529:CKD917533 CTN917529:CTZ917533 DDJ917529:DDV917533 DNF917529:DNR917533 DXB917529:DXN917533 EGX917529:EHJ917533 EQT917529:ERF917533 FAP917529:FBB917533 FKL917529:FKX917533 FUH917529:FUT917533 GED917529:GEP917533 GNZ917529:GOL917533 GXV917529:GYH917533 HHR917529:HID917533 HRN917529:HRZ917533 IBJ917529:IBV917533 ILF917529:ILR917533 IVB917529:IVN917533 JEX917529:JFJ917533 JOT917529:JPF917533 JYP917529:JZB917533 KIL917529:KIX917533 KSH917529:KST917533 LCD917529:LCP917533 LLZ917529:LML917533 LVV917529:LWH917533 MFR917529:MGD917533 MPN917529:MPZ917533 MZJ917529:MZV917533 NJF917529:NJR917533 NTB917529:NTN917533 OCX917529:ODJ917533 OMT917529:ONF917533 OWP917529:OXB917533 PGL917529:PGX917533 PQH917529:PQT917533 QAD917529:QAP917533 QJZ917529:QKL917533 QTV917529:QUH917533 RDR917529:RED917533 RNN917529:RNZ917533 RXJ917529:RXV917533 SHF917529:SHR917533 SRB917529:SRN917533 TAX917529:TBJ917533 TKT917529:TLF917533 TUP917529:TVB917533 UEL917529:UEX917533 UOH917529:UOT917533 UYD917529:UYP917533 VHZ917529:VIL917533 VRV917529:VSH917533 WBR917529:WCD917533 WLN917529:WLZ917533 WVJ917529:WVV917533 WVJ983065:WVV983069 IX983065:JJ983069 ST983065:TF983069 ACP983065:ADB983069 AML983065:AMX983069 AWH983065:AWT983069 BGD983065:BGP983069 BPZ983065:BQL983069 BZV983065:CAH983069 CJR983065:CKD983069 CTN983065:CTZ983069 DDJ983065:DDV983069 DNF983065:DNR983069 DXB983065:DXN983069 EGX983065:EHJ983069 EQT983065:ERF983069 FAP983065:FBB983069 FKL983065:FKX983069 FUH983065:FUT983069 GED983065:GEP983069 GNZ983065:GOL983069 GXV983065:GYH983069 HHR983065:HID983069 HRN983065:HRZ983069 IBJ983065:IBV983069 ILF983065:ILR983069 IVB983065:IVN983069 JEX983065:JFJ983069 JOT983065:JPF983069 JYP983065:JZB983069 KIL983065:KIX983069 KSH983065:KST983069 LCD983065:LCP983069 LLZ983065:LML983069 LVV983065:LWH983069 MFR983065:MGD983069 MPN983065:MPZ983069 MZJ983065:MZV983069 NJF983065:NJR983069 NTB983065:NTN983069 OCX983065:ODJ983069 OMT983065:ONF983069 OWP983065:OXB983069 PGL983065:PGX983069 PQH983065:PQT983069 QAD983065:QAP983069 QJZ983065:QKL983069 QTV983065:QUH983069 RDR983065:RED983069 RNN983065:RNZ983069 RXJ983065:RXV983069 SHF983065:SHR983069 SRB983065:SRN983069 TAX983065:TBJ983069 TKT983065:TLF983069 TUP983065:TVB983069 UEL983065:UEX983069 UOH983065:UOT983069 UYD983065:UYP983069 VHZ983065:VIL983069 VRV983065:VSH983069 WBR983065:WCD983069 WLN983065:WLZ983069 L983065:X983069 L65561:X65565 L131097:X131101 L196633:X196637 L262169:X262173 L327705:X327709 L393241:X393245 L458777:X458781 L524313:X524317 L589849:X589853 L655385:X655389 L720921:X720925 L786457:X786461 L851993:X851997 L917529:X917533"/>
    <dataValidation type="textLength" operator="lessThanOrEqual" allowBlank="1" showInputMessage="1" showErrorMessage="1" errorTitle="Ошибка" error="Допускается ввод не более 900 символов!" prompt="Укажите заявителя" sqref="ACQ23 AMM23 AWI23 BGE23 BQA23 BZW23 CJS23 CTO23 DDK23 DNG23 DXC23 EGY23 EQU23 FAQ23 FKM23 FUI23 GEE23 GOA23 GXW23 HHS23 HRO23 IBK23 ILG23 IVC23 JEY23 JOU23 JYQ23 KIM23 KSI23 LCE23 LMA23 LVW23 MFS23 MPO23 MZK23 NJG23 NTC23 OCY23 OMU23 OWQ23 PGM23 PQI23 QAE23 QKA23 QTW23 RDS23 RNO23 RXK23 SHG23 SRC23 TAY23 TKU23 TUQ23 UEM23 UOI23 UYE23 VIA23 VRW23 WBS23 WLO23 WVK23 M23 IY23 WVK983063 M65559 IY65559 SU65559 ACQ65559 AMM65559 AWI65559 BGE65559 BQA65559 BZW65559 CJS65559 CTO65559 DDK65559 DNG65559 DXC65559 EGY65559 EQU65559 FAQ65559 FKM65559 FUI65559 GEE65559 GOA65559 GXW65559 HHS65559 HRO65559 IBK65559 ILG65559 IVC65559 JEY65559 JOU65559 JYQ65559 KIM65559 KSI65559 LCE65559 LMA65559 LVW65559 MFS65559 MPO65559 MZK65559 NJG65559 NTC65559 OCY65559 OMU65559 OWQ65559 PGM65559 PQI65559 QAE65559 QKA65559 QTW65559 RDS65559 RNO65559 RXK65559 SHG65559 SRC65559 TAY65559 TKU65559 TUQ65559 UEM65559 UOI65559 UYE65559 VIA65559 VRW65559 WBS65559 WLO65559 WVK65559 M131095 IY131095 SU131095 ACQ131095 AMM131095 AWI131095 BGE131095 BQA131095 BZW131095 CJS131095 CTO131095 DDK131095 DNG131095 DXC131095 EGY131095 EQU131095 FAQ131095 FKM131095 FUI131095 GEE131095 GOA131095 GXW131095 HHS131095 HRO131095 IBK131095 ILG131095 IVC131095 JEY131095 JOU131095 JYQ131095 KIM131095 KSI131095 LCE131095 LMA131095 LVW131095 MFS131095 MPO131095 MZK131095 NJG131095 NTC131095 OCY131095 OMU131095 OWQ131095 PGM131095 PQI131095 QAE131095 QKA131095 QTW131095 RDS131095 RNO131095 RXK131095 SHG131095 SRC131095 TAY131095 TKU131095 TUQ131095 UEM131095 UOI131095 UYE131095 VIA131095 VRW131095 WBS131095 WLO131095 WVK131095 M196631 IY196631 SU196631 ACQ196631 AMM196631 AWI196631 BGE196631 BQA196631 BZW196631 CJS196631 CTO196631 DDK196631 DNG196631 DXC196631 EGY196631 EQU196631 FAQ196631 FKM196631 FUI196631 GEE196631 GOA196631 GXW196631 HHS196631 HRO196631 IBK196631 ILG196631 IVC196631 JEY196631 JOU196631 JYQ196631 KIM196631 KSI196631 LCE196631 LMA196631 LVW196631 MFS196631 MPO196631 MZK196631 NJG196631 NTC196631 OCY196631 OMU196631 OWQ196631 PGM196631 PQI196631 QAE196631 QKA196631 QTW196631 RDS196631 RNO196631 RXK196631 SHG196631 SRC196631 TAY196631 TKU196631 TUQ196631 UEM196631 UOI196631 UYE196631 VIA196631 VRW196631 WBS196631 WLO196631 WVK196631 M262167 IY262167 SU262167 ACQ262167 AMM262167 AWI262167 BGE262167 BQA262167 BZW262167 CJS262167 CTO262167 DDK262167 DNG262167 DXC262167 EGY262167 EQU262167 FAQ262167 FKM262167 FUI262167 GEE262167 GOA262167 GXW262167 HHS262167 HRO262167 IBK262167 ILG262167 IVC262167 JEY262167 JOU262167 JYQ262167 KIM262167 KSI262167 LCE262167 LMA262167 LVW262167 MFS262167 MPO262167 MZK262167 NJG262167 NTC262167 OCY262167 OMU262167 OWQ262167 PGM262167 PQI262167 QAE262167 QKA262167 QTW262167 RDS262167 RNO262167 RXK262167 SHG262167 SRC262167 TAY262167 TKU262167 TUQ262167 UEM262167 UOI262167 UYE262167 VIA262167 VRW262167 WBS262167 WLO262167 WVK262167 M327703 IY327703 SU327703 ACQ327703 AMM327703 AWI327703 BGE327703 BQA327703 BZW327703 CJS327703 CTO327703 DDK327703 DNG327703 DXC327703 EGY327703 EQU327703 FAQ327703 FKM327703 FUI327703 GEE327703 GOA327703 GXW327703 HHS327703 HRO327703 IBK327703 ILG327703 IVC327703 JEY327703 JOU327703 JYQ327703 KIM327703 KSI327703 LCE327703 LMA327703 LVW327703 MFS327703 MPO327703 MZK327703 NJG327703 NTC327703 OCY327703 OMU327703 OWQ327703 PGM327703 PQI327703 QAE327703 QKA327703 QTW327703 RDS327703 RNO327703 RXK327703 SHG327703 SRC327703 TAY327703 TKU327703 TUQ327703 UEM327703 UOI327703 UYE327703 VIA327703 VRW327703 WBS327703 WLO327703 WVK327703 M393239 IY393239 SU393239 ACQ393239 AMM393239 AWI393239 BGE393239 BQA393239 BZW393239 CJS393239 CTO393239 DDK393239 DNG393239 DXC393239 EGY393239 EQU393239 FAQ393239 FKM393239 FUI393239 GEE393239 GOA393239 GXW393239 HHS393239 HRO393239 IBK393239 ILG393239 IVC393239 JEY393239 JOU393239 JYQ393239 KIM393239 KSI393239 LCE393239 LMA393239 LVW393239 MFS393239 MPO393239 MZK393239 NJG393239 NTC393239 OCY393239 OMU393239 OWQ393239 PGM393239 PQI393239 QAE393239 QKA393239 QTW393239 RDS393239 RNO393239 RXK393239 SHG393239 SRC393239 TAY393239 TKU393239 TUQ393239 UEM393239 UOI393239 UYE393239 VIA393239 VRW393239 WBS393239 WLO393239 WVK393239 M458775 IY458775 SU458775 ACQ458775 AMM458775 AWI458775 BGE458775 BQA458775 BZW458775 CJS458775 CTO458775 DDK458775 DNG458775 DXC458775 EGY458775 EQU458775 FAQ458775 FKM458775 FUI458775 GEE458775 GOA458775 GXW458775 HHS458775 HRO458775 IBK458775 ILG458775 IVC458775 JEY458775 JOU458775 JYQ458775 KIM458775 KSI458775 LCE458775 LMA458775 LVW458775 MFS458775 MPO458775 MZK458775 NJG458775 NTC458775 OCY458775 OMU458775 OWQ458775 PGM458775 PQI458775 QAE458775 QKA458775 QTW458775 RDS458775 RNO458775 RXK458775 SHG458775 SRC458775 TAY458775 TKU458775 TUQ458775 UEM458775 UOI458775 UYE458775 VIA458775 VRW458775 WBS458775 WLO458775 WVK458775 M524311 IY524311 SU524311 ACQ524311 AMM524311 AWI524311 BGE524311 BQA524311 BZW524311 CJS524311 CTO524311 DDK524311 DNG524311 DXC524311 EGY524311 EQU524311 FAQ524311 FKM524311 FUI524311 GEE524311 GOA524311 GXW524311 HHS524311 HRO524311 IBK524311 ILG524311 IVC524311 JEY524311 JOU524311 JYQ524311 KIM524311 KSI524311 LCE524311 LMA524311 LVW524311 MFS524311 MPO524311 MZK524311 NJG524311 NTC524311 OCY524311 OMU524311 OWQ524311 PGM524311 PQI524311 QAE524311 QKA524311 QTW524311 RDS524311 RNO524311 RXK524311 SHG524311 SRC524311 TAY524311 TKU524311 TUQ524311 UEM524311 UOI524311 UYE524311 VIA524311 VRW524311 WBS524311 WLO524311 WVK524311 M589847 IY589847 SU589847 ACQ589847 AMM589847 AWI589847 BGE589847 BQA589847 BZW589847 CJS589847 CTO589847 DDK589847 DNG589847 DXC589847 EGY589847 EQU589847 FAQ589847 FKM589847 FUI589847 GEE589847 GOA589847 GXW589847 HHS589847 HRO589847 IBK589847 ILG589847 IVC589847 JEY589847 JOU589847 JYQ589847 KIM589847 KSI589847 LCE589847 LMA589847 LVW589847 MFS589847 MPO589847 MZK589847 NJG589847 NTC589847 OCY589847 OMU589847 OWQ589847 PGM589847 PQI589847 QAE589847 QKA589847 QTW589847 RDS589847 RNO589847 RXK589847 SHG589847 SRC589847 TAY589847 TKU589847 TUQ589847 UEM589847 UOI589847 UYE589847 VIA589847 VRW589847 WBS589847 WLO589847 WVK589847 M655383 IY655383 SU655383 ACQ655383 AMM655383 AWI655383 BGE655383 BQA655383 BZW655383 CJS655383 CTO655383 DDK655383 DNG655383 DXC655383 EGY655383 EQU655383 FAQ655383 FKM655383 FUI655383 GEE655383 GOA655383 GXW655383 HHS655383 HRO655383 IBK655383 ILG655383 IVC655383 JEY655383 JOU655383 JYQ655383 KIM655383 KSI655383 LCE655383 LMA655383 LVW655383 MFS655383 MPO655383 MZK655383 NJG655383 NTC655383 OCY655383 OMU655383 OWQ655383 PGM655383 PQI655383 QAE655383 QKA655383 QTW655383 RDS655383 RNO655383 RXK655383 SHG655383 SRC655383 TAY655383 TKU655383 TUQ655383 UEM655383 UOI655383 UYE655383 VIA655383 VRW655383 WBS655383 WLO655383 WVK655383 M720919 IY720919 SU720919 ACQ720919 AMM720919 AWI720919 BGE720919 BQA720919 BZW720919 CJS720919 CTO720919 DDK720919 DNG720919 DXC720919 EGY720919 EQU720919 FAQ720919 FKM720919 FUI720919 GEE720919 GOA720919 GXW720919 HHS720919 HRO720919 IBK720919 ILG720919 IVC720919 JEY720919 JOU720919 JYQ720919 KIM720919 KSI720919 LCE720919 LMA720919 LVW720919 MFS720919 MPO720919 MZK720919 NJG720919 NTC720919 OCY720919 OMU720919 OWQ720919 PGM720919 PQI720919 QAE720919 QKA720919 QTW720919 RDS720919 RNO720919 RXK720919 SHG720919 SRC720919 TAY720919 TKU720919 TUQ720919 UEM720919 UOI720919 UYE720919 VIA720919 VRW720919 WBS720919 WLO720919 WVK720919 M786455 IY786455 SU786455 ACQ786455 AMM786455 AWI786455 BGE786455 BQA786455 BZW786455 CJS786455 CTO786455 DDK786455 DNG786455 DXC786455 EGY786455 EQU786455 FAQ786455 FKM786455 FUI786455 GEE786455 GOA786455 GXW786455 HHS786455 HRO786455 IBK786455 ILG786455 IVC786455 JEY786455 JOU786455 JYQ786455 KIM786455 KSI786455 LCE786455 LMA786455 LVW786455 MFS786455 MPO786455 MZK786455 NJG786455 NTC786455 OCY786455 OMU786455 OWQ786455 PGM786455 PQI786455 QAE786455 QKA786455 QTW786455 RDS786455 RNO786455 RXK786455 SHG786455 SRC786455 TAY786455 TKU786455 TUQ786455 UEM786455 UOI786455 UYE786455 VIA786455 VRW786455 WBS786455 WLO786455 WVK786455 M851991 IY851991 SU851991 ACQ851991 AMM851991 AWI851991 BGE851991 BQA851991 BZW851991 CJS851991 CTO851991 DDK851991 DNG851991 DXC851991 EGY851991 EQU851991 FAQ851991 FKM851991 FUI851991 GEE851991 GOA851991 GXW851991 HHS851991 HRO851991 IBK851991 ILG851991 IVC851991 JEY851991 JOU851991 JYQ851991 KIM851991 KSI851991 LCE851991 LMA851991 LVW851991 MFS851991 MPO851991 MZK851991 NJG851991 NTC851991 OCY851991 OMU851991 OWQ851991 PGM851991 PQI851991 QAE851991 QKA851991 QTW851991 RDS851991 RNO851991 RXK851991 SHG851991 SRC851991 TAY851991 TKU851991 TUQ851991 UEM851991 UOI851991 UYE851991 VIA851991 VRW851991 WBS851991 WLO851991 WVK851991 M917527 IY917527 SU917527 ACQ917527 AMM917527 AWI917527 BGE917527 BQA917527 BZW917527 CJS917527 CTO917527 DDK917527 DNG917527 DXC917527 EGY917527 EQU917527 FAQ917527 FKM917527 FUI917527 GEE917527 GOA917527 GXW917527 HHS917527 HRO917527 IBK917527 ILG917527 IVC917527 JEY917527 JOU917527 JYQ917527 KIM917527 KSI917527 LCE917527 LMA917527 LVW917527 MFS917527 MPO917527 MZK917527 NJG917527 NTC917527 OCY917527 OMU917527 OWQ917527 PGM917527 PQI917527 QAE917527 QKA917527 QTW917527 RDS917527 RNO917527 RXK917527 SHG917527 SRC917527 TAY917527 TKU917527 TUQ917527 UEM917527 UOI917527 UYE917527 VIA917527 VRW917527 WBS917527 WLO917527 WVK917527 M983063 IY983063 SU983063 ACQ983063 AMM983063 AWI983063 BGE983063 BQA983063 BZW983063 CJS983063 CTO983063 DDK983063 DNG983063 DXC983063 EGY983063 EQU983063 FAQ983063 FKM983063 FUI983063 GEE983063 GOA983063 GXW983063 HHS983063 HRO983063 IBK983063 ILG983063 IVC983063 JEY983063 JOU983063 JYQ983063 KIM983063 KSI983063 LCE983063 LMA983063 LVW983063 MFS983063 MPO983063 MZK983063 NJG983063 NTC983063 OCY983063 OMU983063 OWQ983063 PGM983063 PQI983063 QAE983063 QKA983063 QTW983063 RDS983063 RNO983063 RXK983063 SHG983063 SRC983063 TAY983063 TKU983063 TUQ983063 UEM983063 UOI983063 UYE983063 VIA983063 VRW983063 WBS983063 WLO983063 SU23">
      <formula1>900</formula1>
    </dataValidation>
    <dataValidation type="decimal" allowBlank="1" showErrorMessage="1" errorTitle="Ошибка" error="Допускается ввод только неотрицательных чисел!" sqref="ACT23 AMP23 AWL23 BGH23 BQD23 BZZ23 CJV23 CTR23 DDN23 DNJ23 DXF23 EHB23 EQX23 FAT23 FKP23 FUL23 GEH23 GOD23 GXZ23 HHV23 HRR23 IBN23 ILJ23 IVF23 JFB23 JOX23 JYT23 KIP23 KSL23 LCH23 LMD23 LVZ23 MFV23 MPR23 MZN23 NJJ23 NTF23 ODB23 OMX23 OWT23 PGP23 PQL23 QAH23 QKD23 QTZ23 RDV23 RNR23 RXN23 SHJ23 SRF23 TBB23 TKX23 TUT23 UEP23 UOL23 UYH23 VID23 VRZ23 WBV23 WLR23 WVN23 P23 JB23 WVN983063 P65559 JB65559 SX65559 ACT65559 AMP65559 AWL65559 BGH65559 BQD65559 BZZ65559 CJV65559 CTR65559 DDN65559 DNJ65559 DXF65559 EHB65559 EQX65559 FAT65559 FKP65559 FUL65559 GEH65559 GOD65559 GXZ65559 HHV65559 HRR65559 IBN65559 ILJ65559 IVF65559 JFB65559 JOX65559 JYT65559 KIP65559 KSL65559 LCH65559 LMD65559 LVZ65559 MFV65559 MPR65559 MZN65559 NJJ65559 NTF65559 ODB65559 OMX65559 OWT65559 PGP65559 PQL65559 QAH65559 QKD65559 QTZ65559 RDV65559 RNR65559 RXN65559 SHJ65559 SRF65559 TBB65559 TKX65559 TUT65559 UEP65559 UOL65559 UYH65559 VID65559 VRZ65559 WBV65559 WLR65559 WVN65559 P131095 JB131095 SX131095 ACT131095 AMP131095 AWL131095 BGH131095 BQD131095 BZZ131095 CJV131095 CTR131095 DDN131095 DNJ131095 DXF131095 EHB131095 EQX131095 FAT131095 FKP131095 FUL131095 GEH131095 GOD131095 GXZ131095 HHV131095 HRR131095 IBN131095 ILJ131095 IVF131095 JFB131095 JOX131095 JYT131095 KIP131095 KSL131095 LCH131095 LMD131095 LVZ131095 MFV131095 MPR131095 MZN131095 NJJ131095 NTF131095 ODB131095 OMX131095 OWT131095 PGP131095 PQL131095 QAH131095 QKD131095 QTZ131095 RDV131095 RNR131095 RXN131095 SHJ131095 SRF131095 TBB131095 TKX131095 TUT131095 UEP131095 UOL131095 UYH131095 VID131095 VRZ131095 WBV131095 WLR131095 WVN131095 P196631 JB196631 SX196631 ACT196631 AMP196631 AWL196631 BGH196631 BQD196631 BZZ196631 CJV196631 CTR196631 DDN196631 DNJ196631 DXF196631 EHB196631 EQX196631 FAT196631 FKP196631 FUL196631 GEH196631 GOD196631 GXZ196631 HHV196631 HRR196631 IBN196631 ILJ196631 IVF196631 JFB196631 JOX196631 JYT196631 KIP196631 KSL196631 LCH196631 LMD196631 LVZ196631 MFV196631 MPR196631 MZN196631 NJJ196631 NTF196631 ODB196631 OMX196631 OWT196631 PGP196631 PQL196631 QAH196631 QKD196631 QTZ196631 RDV196631 RNR196631 RXN196631 SHJ196631 SRF196631 TBB196631 TKX196631 TUT196631 UEP196631 UOL196631 UYH196631 VID196631 VRZ196631 WBV196631 WLR196631 WVN196631 P262167 JB262167 SX262167 ACT262167 AMP262167 AWL262167 BGH262167 BQD262167 BZZ262167 CJV262167 CTR262167 DDN262167 DNJ262167 DXF262167 EHB262167 EQX262167 FAT262167 FKP262167 FUL262167 GEH262167 GOD262167 GXZ262167 HHV262167 HRR262167 IBN262167 ILJ262167 IVF262167 JFB262167 JOX262167 JYT262167 KIP262167 KSL262167 LCH262167 LMD262167 LVZ262167 MFV262167 MPR262167 MZN262167 NJJ262167 NTF262167 ODB262167 OMX262167 OWT262167 PGP262167 PQL262167 QAH262167 QKD262167 QTZ262167 RDV262167 RNR262167 RXN262167 SHJ262167 SRF262167 TBB262167 TKX262167 TUT262167 UEP262167 UOL262167 UYH262167 VID262167 VRZ262167 WBV262167 WLR262167 WVN262167 P327703 JB327703 SX327703 ACT327703 AMP327703 AWL327703 BGH327703 BQD327703 BZZ327703 CJV327703 CTR327703 DDN327703 DNJ327703 DXF327703 EHB327703 EQX327703 FAT327703 FKP327703 FUL327703 GEH327703 GOD327703 GXZ327703 HHV327703 HRR327703 IBN327703 ILJ327703 IVF327703 JFB327703 JOX327703 JYT327703 KIP327703 KSL327703 LCH327703 LMD327703 LVZ327703 MFV327703 MPR327703 MZN327703 NJJ327703 NTF327703 ODB327703 OMX327703 OWT327703 PGP327703 PQL327703 QAH327703 QKD327703 QTZ327703 RDV327703 RNR327703 RXN327703 SHJ327703 SRF327703 TBB327703 TKX327703 TUT327703 UEP327703 UOL327703 UYH327703 VID327703 VRZ327703 WBV327703 WLR327703 WVN327703 P393239 JB393239 SX393239 ACT393239 AMP393239 AWL393239 BGH393239 BQD393239 BZZ393239 CJV393239 CTR393239 DDN393239 DNJ393239 DXF393239 EHB393239 EQX393239 FAT393239 FKP393239 FUL393239 GEH393239 GOD393239 GXZ393239 HHV393239 HRR393239 IBN393239 ILJ393239 IVF393239 JFB393239 JOX393239 JYT393239 KIP393239 KSL393239 LCH393239 LMD393239 LVZ393239 MFV393239 MPR393239 MZN393239 NJJ393239 NTF393239 ODB393239 OMX393239 OWT393239 PGP393239 PQL393239 QAH393239 QKD393239 QTZ393239 RDV393239 RNR393239 RXN393239 SHJ393239 SRF393239 TBB393239 TKX393239 TUT393239 UEP393239 UOL393239 UYH393239 VID393239 VRZ393239 WBV393239 WLR393239 WVN393239 P458775 JB458775 SX458775 ACT458775 AMP458775 AWL458775 BGH458775 BQD458775 BZZ458775 CJV458775 CTR458775 DDN458775 DNJ458775 DXF458775 EHB458775 EQX458775 FAT458775 FKP458775 FUL458775 GEH458775 GOD458775 GXZ458775 HHV458775 HRR458775 IBN458775 ILJ458775 IVF458775 JFB458775 JOX458775 JYT458775 KIP458775 KSL458775 LCH458775 LMD458775 LVZ458775 MFV458775 MPR458775 MZN458775 NJJ458775 NTF458775 ODB458775 OMX458775 OWT458775 PGP458775 PQL458775 QAH458775 QKD458775 QTZ458775 RDV458775 RNR458775 RXN458775 SHJ458775 SRF458775 TBB458775 TKX458775 TUT458775 UEP458775 UOL458775 UYH458775 VID458775 VRZ458775 WBV458775 WLR458775 WVN458775 P524311 JB524311 SX524311 ACT524311 AMP524311 AWL524311 BGH524311 BQD524311 BZZ524311 CJV524311 CTR524311 DDN524311 DNJ524311 DXF524311 EHB524311 EQX524311 FAT524311 FKP524311 FUL524311 GEH524311 GOD524311 GXZ524311 HHV524311 HRR524311 IBN524311 ILJ524311 IVF524311 JFB524311 JOX524311 JYT524311 KIP524311 KSL524311 LCH524311 LMD524311 LVZ524311 MFV524311 MPR524311 MZN524311 NJJ524311 NTF524311 ODB524311 OMX524311 OWT524311 PGP524311 PQL524311 QAH524311 QKD524311 QTZ524311 RDV524311 RNR524311 RXN524311 SHJ524311 SRF524311 TBB524311 TKX524311 TUT524311 UEP524311 UOL524311 UYH524311 VID524311 VRZ524311 WBV524311 WLR524311 WVN524311 P589847 JB589847 SX589847 ACT589847 AMP589847 AWL589847 BGH589847 BQD589847 BZZ589847 CJV589847 CTR589847 DDN589847 DNJ589847 DXF589847 EHB589847 EQX589847 FAT589847 FKP589847 FUL589847 GEH589847 GOD589847 GXZ589847 HHV589847 HRR589847 IBN589847 ILJ589847 IVF589847 JFB589847 JOX589847 JYT589847 KIP589847 KSL589847 LCH589847 LMD589847 LVZ589847 MFV589847 MPR589847 MZN589847 NJJ589847 NTF589847 ODB589847 OMX589847 OWT589847 PGP589847 PQL589847 QAH589847 QKD589847 QTZ589847 RDV589847 RNR589847 RXN589847 SHJ589847 SRF589847 TBB589847 TKX589847 TUT589847 UEP589847 UOL589847 UYH589847 VID589847 VRZ589847 WBV589847 WLR589847 WVN589847 P655383 JB655383 SX655383 ACT655383 AMP655383 AWL655383 BGH655383 BQD655383 BZZ655383 CJV655383 CTR655383 DDN655383 DNJ655383 DXF655383 EHB655383 EQX655383 FAT655383 FKP655383 FUL655383 GEH655383 GOD655383 GXZ655383 HHV655383 HRR655383 IBN655383 ILJ655383 IVF655383 JFB655383 JOX655383 JYT655383 KIP655383 KSL655383 LCH655383 LMD655383 LVZ655383 MFV655383 MPR655383 MZN655383 NJJ655383 NTF655383 ODB655383 OMX655383 OWT655383 PGP655383 PQL655383 QAH655383 QKD655383 QTZ655383 RDV655383 RNR655383 RXN655383 SHJ655383 SRF655383 TBB655383 TKX655383 TUT655383 UEP655383 UOL655383 UYH655383 VID655383 VRZ655383 WBV655383 WLR655383 WVN655383 P720919 JB720919 SX720919 ACT720919 AMP720919 AWL720919 BGH720919 BQD720919 BZZ720919 CJV720919 CTR720919 DDN720919 DNJ720919 DXF720919 EHB720919 EQX720919 FAT720919 FKP720919 FUL720919 GEH720919 GOD720919 GXZ720919 HHV720919 HRR720919 IBN720919 ILJ720919 IVF720919 JFB720919 JOX720919 JYT720919 KIP720919 KSL720919 LCH720919 LMD720919 LVZ720919 MFV720919 MPR720919 MZN720919 NJJ720919 NTF720919 ODB720919 OMX720919 OWT720919 PGP720919 PQL720919 QAH720919 QKD720919 QTZ720919 RDV720919 RNR720919 RXN720919 SHJ720919 SRF720919 TBB720919 TKX720919 TUT720919 UEP720919 UOL720919 UYH720919 VID720919 VRZ720919 WBV720919 WLR720919 WVN720919 P786455 JB786455 SX786455 ACT786455 AMP786455 AWL786455 BGH786455 BQD786455 BZZ786455 CJV786455 CTR786455 DDN786455 DNJ786455 DXF786455 EHB786455 EQX786455 FAT786455 FKP786455 FUL786455 GEH786455 GOD786455 GXZ786455 HHV786455 HRR786455 IBN786455 ILJ786455 IVF786455 JFB786455 JOX786455 JYT786455 KIP786455 KSL786455 LCH786455 LMD786455 LVZ786455 MFV786455 MPR786455 MZN786455 NJJ786455 NTF786455 ODB786455 OMX786455 OWT786455 PGP786455 PQL786455 QAH786455 QKD786455 QTZ786455 RDV786455 RNR786455 RXN786455 SHJ786455 SRF786455 TBB786455 TKX786455 TUT786455 UEP786455 UOL786455 UYH786455 VID786455 VRZ786455 WBV786455 WLR786455 WVN786455 P851991 JB851991 SX851991 ACT851991 AMP851991 AWL851991 BGH851991 BQD851991 BZZ851991 CJV851991 CTR851991 DDN851991 DNJ851991 DXF851991 EHB851991 EQX851991 FAT851991 FKP851991 FUL851991 GEH851991 GOD851991 GXZ851991 HHV851991 HRR851991 IBN851991 ILJ851991 IVF851991 JFB851991 JOX851991 JYT851991 KIP851991 KSL851991 LCH851991 LMD851991 LVZ851991 MFV851991 MPR851991 MZN851991 NJJ851991 NTF851991 ODB851991 OMX851991 OWT851991 PGP851991 PQL851991 QAH851991 QKD851991 QTZ851991 RDV851991 RNR851991 RXN851991 SHJ851991 SRF851991 TBB851991 TKX851991 TUT851991 UEP851991 UOL851991 UYH851991 VID851991 VRZ851991 WBV851991 WLR851991 WVN851991 P917527 JB917527 SX917527 ACT917527 AMP917527 AWL917527 BGH917527 BQD917527 BZZ917527 CJV917527 CTR917527 DDN917527 DNJ917527 DXF917527 EHB917527 EQX917527 FAT917527 FKP917527 FUL917527 GEH917527 GOD917527 GXZ917527 HHV917527 HRR917527 IBN917527 ILJ917527 IVF917527 JFB917527 JOX917527 JYT917527 KIP917527 KSL917527 LCH917527 LMD917527 LVZ917527 MFV917527 MPR917527 MZN917527 NJJ917527 NTF917527 ODB917527 OMX917527 OWT917527 PGP917527 PQL917527 QAH917527 QKD917527 QTZ917527 RDV917527 RNR917527 RXN917527 SHJ917527 SRF917527 TBB917527 TKX917527 TUT917527 UEP917527 UOL917527 UYH917527 VID917527 VRZ917527 WBV917527 WLR917527 WVN917527 P983063 JB983063 SX983063 ACT983063 AMP983063 AWL983063 BGH983063 BQD983063 BZZ983063 CJV983063 CTR983063 DDN983063 DNJ983063 DXF983063 EHB983063 EQX983063 FAT983063 FKP983063 FUL983063 GEH983063 GOD983063 GXZ983063 HHV983063 HRR983063 IBN983063 ILJ983063 IVF983063 JFB983063 JOX983063 JYT983063 KIP983063 KSL983063 LCH983063 LMD983063 LVZ983063 MFV983063 MPR983063 MZN983063 NJJ983063 NTF983063 ODB983063 OMX983063 OWT983063 PGP983063 PQL983063 QAH983063 QKD983063 QTZ983063 RDV983063 RNR983063 RXN983063 SHJ983063 SRF983063 TBB983063 TKX983063 TUT983063 UEP983063 UOL983063 UYH983063 VID983063 VRZ983063 WBV983063 WLR983063 SX23">
      <formula1>0</formula1>
      <formula2>9.99999999999999E+23</formula2>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ACY23 AMU23 AWQ23 BGM23 BQI23 CAE23 CKA23 CTW23 DDS23 DNO23 DXK23 EHG23 ERC23 FAY23 FKU23 FUQ23 GEM23 GOI23 GYE23 HIA23 HRW23 IBS23 ILO23 IVK23 JFG23 JPC23 JYY23 KIU23 KSQ23 LCM23 LMI23 LWE23 MGA23 MPW23 MZS23 NJO23 NTK23 ODG23 ONC23 OWY23 PGU23 PQQ23 QAM23 QKI23 QUE23 REA23 RNW23 RXS23 SHO23 SRK23 TBG23 TLC23 TUY23 UEU23 UOQ23 UYM23 VII23 VSE23 WCA23 WLW23 WVS23 S23 JE23 TA23 U65559 JG65559 TC65559 ACY65559 AMU65559 AWQ65559 BGM65559 BQI65559 CAE65559 CKA65559 CTW65559 DDS65559 DNO65559 DXK65559 EHG65559 ERC65559 FAY65559 FKU65559 FUQ65559 GEM65559 GOI65559 GYE65559 HIA65559 HRW65559 IBS65559 ILO65559 IVK65559 JFG65559 JPC65559 JYY65559 KIU65559 KSQ65559 LCM65559 LMI65559 LWE65559 MGA65559 MPW65559 MZS65559 NJO65559 NTK65559 ODG65559 ONC65559 OWY65559 PGU65559 PQQ65559 QAM65559 QKI65559 QUE65559 REA65559 RNW65559 RXS65559 SHO65559 SRK65559 TBG65559 TLC65559 TUY65559 UEU65559 UOQ65559 UYM65559 VII65559 VSE65559 WCA65559 WLW65559 WVS65559 U131095 JG131095 TC131095 ACY131095 AMU131095 AWQ131095 BGM131095 BQI131095 CAE131095 CKA131095 CTW131095 DDS131095 DNO131095 DXK131095 EHG131095 ERC131095 FAY131095 FKU131095 FUQ131095 GEM131095 GOI131095 GYE131095 HIA131095 HRW131095 IBS131095 ILO131095 IVK131095 JFG131095 JPC131095 JYY131095 KIU131095 KSQ131095 LCM131095 LMI131095 LWE131095 MGA131095 MPW131095 MZS131095 NJO131095 NTK131095 ODG131095 ONC131095 OWY131095 PGU131095 PQQ131095 QAM131095 QKI131095 QUE131095 REA131095 RNW131095 RXS131095 SHO131095 SRK131095 TBG131095 TLC131095 TUY131095 UEU131095 UOQ131095 UYM131095 VII131095 VSE131095 WCA131095 WLW131095 WVS131095 U196631 JG196631 TC196631 ACY196631 AMU196631 AWQ196631 BGM196631 BQI196631 CAE196631 CKA196631 CTW196631 DDS196631 DNO196631 DXK196631 EHG196631 ERC196631 FAY196631 FKU196631 FUQ196631 GEM196631 GOI196631 GYE196631 HIA196631 HRW196631 IBS196631 ILO196631 IVK196631 JFG196631 JPC196631 JYY196631 KIU196631 KSQ196631 LCM196631 LMI196631 LWE196631 MGA196631 MPW196631 MZS196631 NJO196631 NTK196631 ODG196631 ONC196631 OWY196631 PGU196631 PQQ196631 QAM196631 QKI196631 QUE196631 REA196631 RNW196631 RXS196631 SHO196631 SRK196631 TBG196631 TLC196631 TUY196631 UEU196631 UOQ196631 UYM196631 VII196631 VSE196631 WCA196631 WLW196631 WVS196631 U262167 JG262167 TC262167 ACY262167 AMU262167 AWQ262167 BGM262167 BQI262167 CAE262167 CKA262167 CTW262167 DDS262167 DNO262167 DXK262167 EHG262167 ERC262167 FAY262167 FKU262167 FUQ262167 GEM262167 GOI262167 GYE262167 HIA262167 HRW262167 IBS262167 ILO262167 IVK262167 JFG262167 JPC262167 JYY262167 KIU262167 KSQ262167 LCM262167 LMI262167 LWE262167 MGA262167 MPW262167 MZS262167 NJO262167 NTK262167 ODG262167 ONC262167 OWY262167 PGU262167 PQQ262167 QAM262167 QKI262167 QUE262167 REA262167 RNW262167 RXS262167 SHO262167 SRK262167 TBG262167 TLC262167 TUY262167 UEU262167 UOQ262167 UYM262167 VII262167 VSE262167 WCA262167 WLW262167 WVS262167 U327703 JG327703 TC327703 ACY327703 AMU327703 AWQ327703 BGM327703 BQI327703 CAE327703 CKA327703 CTW327703 DDS327703 DNO327703 DXK327703 EHG327703 ERC327703 FAY327703 FKU327703 FUQ327703 GEM327703 GOI327703 GYE327703 HIA327703 HRW327703 IBS327703 ILO327703 IVK327703 JFG327703 JPC327703 JYY327703 KIU327703 KSQ327703 LCM327703 LMI327703 LWE327703 MGA327703 MPW327703 MZS327703 NJO327703 NTK327703 ODG327703 ONC327703 OWY327703 PGU327703 PQQ327703 QAM327703 QKI327703 QUE327703 REA327703 RNW327703 RXS327703 SHO327703 SRK327703 TBG327703 TLC327703 TUY327703 UEU327703 UOQ327703 UYM327703 VII327703 VSE327703 WCA327703 WLW327703 WVS327703 U393239 JG393239 TC393239 ACY393239 AMU393239 AWQ393239 BGM393239 BQI393239 CAE393239 CKA393239 CTW393239 DDS393239 DNO393239 DXK393239 EHG393239 ERC393239 FAY393239 FKU393239 FUQ393239 GEM393239 GOI393239 GYE393239 HIA393239 HRW393239 IBS393239 ILO393239 IVK393239 JFG393239 JPC393239 JYY393239 KIU393239 KSQ393239 LCM393239 LMI393239 LWE393239 MGA393239 MPW393239 MZS393239 NJO393239 NTK393239 ODG393239 ONC393239 OWY393239 PGU393239 PQQ393239 QAM393239 QKI393239 QUE393239 REA393239 RNW393239 RXS393239 SHO393239 SRK393239 TBG393239 TLC393239 TUY393239 UEU393239 UOQ393239 UYM393239 VII393239 VSE393239 WCA393239 WLW393239 WVS393239 U458775 JG458775 TC458775 ACY458775 AMU458775 AWQ458775 BGM458775 BQI458775 CAE458775 CKA458775 CTW458775 DDS458775 DNO458775 DXK458775 EHG458775 ERC458775 FAY458775 FKU458775 FUQ458775 GEM458775 GOI458775 GYE458775 HIA458775 HRW458775 IBS458775 ILO458775 IVK458775 JFG458775 JPC458775 JYY458775 KIU458775 KSQ458775 LCM458775 LMI458775 LWE458775 MGA458775 MPW458775 MZS458775 NJO458775 NTK458775 ODG458775 ONC458775 OWY458775 PGU458775 PQQ458775 QAM458775 QKI458775 QUE458775 REA458775 RNW458775 RXS458775 SHO458775 SRK458775 TBG458775 TLC458775 TUY458775 UEU458775 UOQ458775 UYM458775 VII458775 VSE458775 WCA458775 WLW458775 WVS458775 U524311 JG524311 TC524311 ACY524311 AMU524311 AWQ524311 BGM524311 BQI524311 CAE524311 CKA524311 CTW524311 DDS524311 DNO524311 DXK524311 EHG524311 ERC524311 FAY524311 FKU524311 FUQ524311 GEM524311 GOI524311 GYE524311 HIA524311 HRW524311 IBS524311 ILO524311 IVK524311 JFG524311 JPC524311 JYY524311 KIU524311 KSQ524311 LCM524311 LMI524311 LWE524311 MGA524311 MPW524311 MZS524311 NJO524311 NTK524311 ODG524311 ONC524311 OWY524311 PGU524311 PQQ524311 QAM524311 QKI524311 QUE524311 REA524311 RNW524311 RXS524311 SHO524311 SRK524311 TBG524311 TLC524311 TUY524311 UEU524311 UOQ524311 UYM524311 VII524311 VSE524311 WCA524311 WLW524311 WVS524311 U589847 JG589847 TC589847 ACY589847 AMU589847 AWQ589847 BGM589847 BQI589847 CAE589847 CKA589847 CTW589847 DDS589847 DNO589847 DXK589847 EHG589847 ERC589847 FAY589847 FKU589847 FUQ589847 GEM589847 GOI589847 GYE589847 HIA589847 HRW589847 IBS589847 ILO589847 IVK589847 JFG589847 JPC589847 JYY589847 KIU589847 KSQ589847 LCM589847 LMI589847 LWE589847 MGA589847 MPW589847 MZS589847 NJO589847 NTK589847 ODG589847 ONC589847 OWY589847 PGU589847 PQQ589847 QAM589847 QKI589847 QUE589847 REA589847 RNW589847 RXS589847 SHO589847 SRK589847 TBG589847 TLC589847 TUY589847 UEU589847 UOQ589847 UYM589847 VII589847 VSE589847 WCA589847 WLW589847 WVS589847 U655383 JG655383 TC655383 ACY655383 AMU655383 AWQ655383 BGM655383 BQI655383 CAE655383 CKA655383 CTW655383 DDS655383 DNO655383 DXK655383 EHG655383 ERC655383 FAY655383 FKU655383 FUQ655383 GEM655383 GOI655383 GYE655383 HIA655383 HRW655383 IBS655383 ILO655383 IVK655383 JFG655383 JPC655383 JYY655383 KIU655383 KSQ655383 LCM655383 LMI655383 LWE655383 MGA655383 MPW655383 MZS655383 NJO655383 NTK655383 ODG655383 ONC655383 OWY655383 PGU655383 PQQ655383 QAM655383 QKI655383 QUE655383 REA655383 RNW655383 RXS655383 SHO655383 SRK655383 TBG655383 TLC655383 TUY655383 UEU655383 UOQ655383 UYM655383 VII655383 VSE655383 WCA655383 WLW655383 WVS655383 U720919 JG720919 TC720919 ACY720919 AMU720919 AWQ720919 BGM720919 BQI720919 CAE720919 CKA720919 CTW720919 DDS720919 DNO720919 DXK720919 EHG720919 ERC720919 FAY720919 FKU720919 FUQ720919 GEM720919 GOI720919 GYE720919 HIA720919 HRW720919 IBS720919 ILO720919 IVK720919 JFG720919 JPC720919 JYY720919 KIU720919 KSQ720919 LCM720919 LMI720919 LWE720919 MGA720919 MPW720919 MZS720919 NJO720919 NTK720919 ODG720919 ONC720919 OWY720919 PGU720919 PQQ720919 QAM720919 QKI720919 QUE720919 REA720919 RNW720919 RXS720919 SHO720919 SRK720919 TBG720919 TLC720919 TUY720919 UEU720919 UOQ720919 UYM720919 VII720919 VSE720919 WCA720919 WLW720919 WVS720919 U786455 JG786455 TC786455 ACY786455 AMU786455 AWQ786455 BGM786455 BQI786455 CAE786455 CKA786455 CTW786455 DDS786455 DNO786455 DXK786455 EHG786455 ERC786455 FAY786455 FKU786455 FUQ786455 GEM786455 GOI786455 GYE786455 HIA786455 HRW786455 IBS786455 ILO786455 IVK786455 JFG786455 JPC786455 JYY786455 KIU786455 KSQ786455 LCM786455 LMI786455 LWE786455 MGA786455 MPW786455 MZS786455 NJO786455 NTK786455 ODG786455 ONC786455 OWY786455 PGU786455 PQQ786455 QAM786455 QKI786455 QUE786455 REA786455 RNW786455 RXS786455 SHO786455 SRK786455 TBG786455 TLC786455 TUY786455 UEU786455 UOQ786455 UYM786455 VII786455 VSE786455 WCA786455 WLW786455 WVS786455 U851991 JG851991 TC851991 ACY851991 AMU851991 AWQ851991 BGM851991 BQI851991 CAE851991 CKA851991 CTW851991 DDS851991 DNO851991 DXK851991 EHG851991 ERC851991 FAY851991 FKU851991 FUQ851991 GEM851991 GOI851991 GYE851991 HIA851991 HRW851991 IBS851991 ILO851991 IVK851991 JFG851991 JPC851991 JYY851991 KIU851991 KSQ851991 LCM851991 LMI851991 LWE851991 MGA851991 MPW851991 MZS851991 NJO851991 NTK851991 ODG851991 ONC851991 OWY851991 PGU851991 PQQ851991 QAM851991 QKI851991 QUE851991 REA851991 RNW851991 RXS851991 SHO851991 SRK851991 TBG851991 TLC851991 TUY851991 UEU851991 UOQ851991 UYM851991 VII851991 VSE851991 WCA851991 WLW851991 WVS851991 U917527 JG917527 TC917527 ACY917527 AMU917527 AWQ917527 BGM917527 BQI917527 CAE917527 CKA917527 CTW917527 DDS917527 DNO917527 DXK917527 EHG917527 ERC917527 FAY917527 FKU917527 FUQ917527 GEM917527 GOI917527 GYE917527 HIA917527 HRW917527 IBS917527 ILO917527 IVK917527 JFG917527 JPC917527 JYY917527 KIU917527 KSQ917527 LCM917527 LMI917527 LWE917527 MGA917527 MPW917527 MZS917527 NJO917527 NTK917527 ODG917527 ONC917527 OWY917527 PGU917527 PQQ917527 QAM917527 QKI917527 QUE917527 REA917527 RNW917527 RXS917527 SHO917527 SRK917527 TBG917527 TLC917527 TUY917527 UEU917527 UOQ917527 UYM917527 VII917527 VSE917527 WCA917527 WLW917527 WVS917527 U983063 JG983063 TC983063 ACY983063 AMU983063 AWQ983063 BGM983063 BQI983063 CAE983063 CKA983063 CTW983063 DDS983063 DNO983063 DXK983063 EHG983063 ERC983063 FAY983063 FKU983063 FUQ983063 GEM983063 GOI983063 GYE983063 HIA983063 HRW983063 IBS983063 ILO983063 IVK983063 JFG983063 JPC983063 JYY983063 KIU983063 KSQ983063 LCM983063 LMI983063 LWE983063 MGA983063 MPW983063 MZS983063 NJO983063 NTK983063 ODG983063 ONC983063 OWY983063 PGU983063 PQQ983063 QAM983063 QKI983063 QUE983063 REA983063 RNW983063 RXS983063 SHO983063 SRK983063 TBG983063 TLC983063 TUY983063 UEU983063 UOQ983063 UYM983063 VII983063 VSE983063 WCA983063 WLW983063 WVS983063 ACW23 AMS23 AWO23 BGK23 BQG23 CAC23 CJY23 CTU23 DDQ23 DNM23 DXI23 EHE23 ERA23 FAW23 FKS23 FUO23 GEK23 GOG23 GYC23 HHY23 HRU23 IBQ23 ILM23 IVI23 JFE23 JPA23 JYW23 KIS23 KSO23 LCK23 LMG23 LWC23 MFY23 MPU23 MZQ23 NJM23 NTI23 ODE23 ONA23 OWW23 PGS23 PQO23 QAK23 QKG23 QUC23 RDY23 RNU23 RXQ23 SHM23 SRI23 TBE23 TLA23 TUW23 UES23 UOO23 UYK23 VIG23 VSC23 WBY23 WLU23 WVQ23 JG23 WVQ983063 S65559 JE65559 TA65559 ACW65559 AMS65559 AWO65559 BGK65559 BQG65559 CAC65559 CJY65559 CTU65559 DDQ65559 DNM65559 DXI65559 EHE65559 ERA65559 FAW65559 FKS65559 FUO65559 GEK65559 GOG65559 GYC65559 HHY65559 HRU65559 IBQ65559 ILM65559 IVI65559 JFE65559 JPA65559 JYW65559 KIS65559 KSO65559 LCK65559 LMG65559 LWC65559 MFY65559 MPU65559 MZQ65559 NJM65559 NTI65559 ODE65559 ONA65559 OWW65559 PGS65559 PQO65559 QAK65559 QKG65559 QUC65559 RDY65559 RNU65559 RXQ65559 SHM65559 SRI65559 TBE65559 TLA65559 TUW65559 UES65559 UOO65559 UYK65559 VIG65559 VSC65559 WBY65559 WLU65559 WVQ65559 S131095 JE131095 TA131095 ACW131095 AMS131095 AWO131095 BGK131095 BQG131095 CAC131095 CJY131095 CTU131095 DDQ131095 DNM131095 DXI131095 EHE131095 ERA131095 FAW131095 FKS131095 FUO131095 GEK131095 GOG131095 GYC131095 HHY131095 HRU131095 IBQ131095 ILM131095 IVI131095 JFE131095 JPA131095 JYW131095 KIS131095 KSO131095 LCK131095 LMG131095 LWC131095 MFY131095 MPU131095 MZQ131095 NJM131095 NTI131095 ODE131095 ONA131095 OWW131095 PGS131095 PQO131095 QAK131095 QKG131095 QUC131095 RDY131095 RNU131095 RXQ131095 SHM131095 SRI131095 TBE131095 TLA131095 TUW131095 UES131095 UOO131095 UYK131095 VIG131095 VSC131095 WBY131095 WLU131095 WVQ131095 S196631 JE196631 TA196631 ACW196631 AMS196631 AWO196631 BGK196631 BQG196631 CAC196631 CJY196631 CTU196631 DDQ196631 DNM196631 DXI196631 EHE196631 ERA196631 FAW196631 FKS196631 FUO196631 GEK196631 GOG196631 GYC196631 HHY196631 HRU196631 IBQ196631 ILM196631 IVI196631 JFE196631 JPA196631 JYW196631 KIS196631 KSO196631 LCK196631 LMG196631 LWC196631 MFY196631 MPU196631 MZQ196631 NJM196631 NTI196631 ODE196631 ONA196631 OWW196631 PGS196631 PQO196631 QAK196631 QKG196631 QUC196631 RDY196631 RNU196631 RXQ196631 SHM196631 SRI196631 TBE196631 TLA196631 TUW196631 UES196631 UOO196631 UYK196631 VIG196631 VSC196631 WBY196631 WLU196631 WVQ196631 S262167 JE262167 TA262167 ACW262167 AMS262167 AWO262167 BGK262167 BQG262167 CAC262167 CJY262167 CTU262167 DDQ262167 DNM262167 DXI262167 EHE262167 ERA262167 FAW262167 FKS262167 FUO262167 GEK262167 GOG262167 GYC262167 HHY262167 HRU262167 IBQ262167 ILM262167 IVI262167 JFE262167 JPA262167 JYW262167 KIS262167 KSO262167 LCK262167 LMG262167 LWC262167 MFY262167 MPU262167 MZQ262167 NJM262167 NTI262167 ODE262167 ONA262167 OWW262167 PGS262167 PQO262167 QAK262167 QKG262167 QUC262167 RDY262167 RNU262167 RXQ262167 SHM262167 SRI262167 TBE262167 TLA262167 TUW262167 UES262167 UOO262167 UYK262167 VIG262167 VSC262167 WBY262167 WLU262167 WVQ262167 S327703 JE327703 TA327703 ACW327703 AMS327703 AWO327703 BGK327703 BQG327703 CAC327703 CJY327703 CTU327703 DDQ327703 DNM327703 DXI327703 EHE327703 ERA327703 FAW327703 FKS327703 FUO327703 GEK327703 GOG327703 GYC327703 HHY327703 HRU327703 IBQ327703 ILM327703 IVI327703 JFE327703 JPA327703 JYW327703 KIS327703 KSO327703 LCK327703 LMG327703 LWC327703 MFY327703 MPU327703 MZQ327703 NJM327703 NTI327703 ODE327703 ONA327703 OWW327703 PGS327703 PQO327703 QAK327703 QKG327703 QUC327703 RDY327703 RNU327703 RXQ327703 SHM327703 SRI327703 TBE327703 TLA327703 TUW327703 UES327703 UOO327703 UYK327703 VIG327703 VSC327703 WBY327703 WLU327703 WVQ327703 S393239 JE393239 TA393239 ACW393239 AMS393239 AWO393239 BGK393239 BQG393239 CAC393239 CJY393239 CTU393239 DDQ393239 DNM393239 DXI393239 EHE393239 ERA393239 FAW393239 FKS393239 FUO393239 GEK393239 GOG393239 GYC393239 HHY393239 HRU393239 IBQ393239 ILM393239 IVI393239 JFE393239 JPA393239 JYW393239 KIS393239 KSO393239 LCK393239 LMG393239 LWC393239 MFY393239 MPU393239 MZQ393239 NJM393239 NTI393239 ODE393239 ONA393239 OWW393239 PGS393239 PQO393239 QAK393239 QKG393239 QUC393239 RDY393239 RNU393239 RXQ393239 SHM393239 SRI393239 TBE393239 TLA393239 TUW393239 UES393239 UOO393239 UYK393239 VIG393239 VSC393239 WBY393239 WLU393239 WVQ393239 S458775 JE458775 TA458775 ACW458775 AMS458775 AWO458775 BGK458775 BQG458775 CAC458775 CJY458775 CTU458775 DDQ458775 DNM458775 DXI458775 EHE458775 ERA458775 FAW458775 FKS458775 FUO458775 GEK458775 GOG458775 GYC458775 HHY458775 HRU458775 IBQ458775 ILM458775 IVI458775 JFE458775 JPA458775 JYW458775 KIS458775 KSO458775 LCK458775 LMG458775 LWC458775 MFY458775 MPU458775 MZQ458775 NJM458775 NTI458775 ODE458775 ONA458775 OWW458775 PGS458775 PQO458775 QAK458775 QKG458775 QUC458775 RDY458775 RNU458775 RXQ458775 SHM458775 SRI458775 TBE458775 TLA458775 TUW458775 UES458775 UOO458775 UYK458775 VIG458775 VSC458775 WBY458775 WLU458775 WVQ458775 S524311 JE524311 TA524311 ACW524311 AMS524311 AWO524311 BGK524311 BQG524311 CAC524311 CJY524311 CTU524311 DDQ524311 DNM524311 DXI524311 EHE524311 ERA524311 FAW524311 FKS524311 FUO524311 GEK524311 GOG524311 GYC524311 HHY524311 HRU524311 IBQ524311 ILM524311 IVI524311 JFE524311 JPA524311 JYW524311 KIS524311 KSO524311 LCK524311 LMG524311 LWC524311 MFY524311 MPU524311 MZQ524311 NJM524311 NTI524311 ODE524311 ONA524311 OWW524311 PGS524311 PQO524311 QAK524311 QKG524311 QUC524311 RDY524311 RNU524311 RXQ524311 SHM524311 SRI524311 TBE524311 TLA524311 TUW524311 UES524311 UOO524311 UYK524311 VIG524311 VSC524311 WBY524311 WLU524311 WVQ524311 S589847 JE589847 TA589847 ACW589847 AMS589847 AWO589847 BGK589847 BQG589847 CAC589847 CJY589847 CTU589847 DDQ589847 DNM589847 DXI589847 EHE589847 ERA589847 FAW589847 FKS589847 FUO589847 GEK589847 GOG589847 GYC589847 HHY589847 HRU589847 IBQ589847 ILM589847 IVI589847 JFE589847 JPA589847 JYW589847 KIS589847 KSO589847 LCK589847 LMG589847 LWC589847 MFY589847 MPU589847 MZQ589847 NJM589847 NTI589847 ODE589847 ONA589847 OWW589847 PGS589847 PQO589847 QAK589847 QKG589847 QUC589847 RDY589847 RNU589847 RXQ589847 SHM589847 SRI589847 TBE589847 TLA589847 TUW589847 UES589847 UOO589847 UYK589847 VIG589847 VSC589847 WBY589847 WLU589847 WVQ589847 S655383 JE655383 TA655383 ACW655383 AMS655383 AWO655383 BGK655383 BQG655383 CAC655383 CJY655383 CTU655383 DDQ655383 DNM655383 DXI655383 EHE655383 ERA655383 FAW655383 FKS655383 FUO655383 GEK655383 GOG655383 GYC655383 HHY655383 HRU655383 IBQ655383 ILM655383 IVI655383 JFE655383 JPA655383 JYW655383 KIS655383 KSO655383 LCK655383 LMG655383 LWC655383 MFY655383 MPU655383 MZQ655383 NJM655383 NTI655383 ODE655383 ONA655383 OWW655383 PGS655383 PQO655383 QAK655383 QKG655383 QUC655383 RDY655383 RNU655383 RXQ655383 SHM655383 SRI655383 TBE655383 TLA655383 TUW655383 UES655383 UOO655383 UYK655383 VIG655383 VSC655383 WBY655383 WLU655383 WVQ655383 S720919 JE720919 TA720919 ACW720919 AMS720919 AWO720919 BGK720919 BQG720919 CAC720919 CJY720919 CTU720919 DDQ720919 DNM720919 DXI720919 EHE720919 ERA720919 FAW720919 FKS720919 FUO720919 GEK720919 GOG720919 GYC720919 HHY720919 HRU720919 IBQ720919 ILM720919 IVI720919 JFE720919 JPA720919 JYW720919 KIS720919 KSO720919 LCK720919 LMG720919 LWC720919 MFY720919 MPU720919 MZQ720919 NJM720919 NTI720919 ODE720919 ONA720919 OWW720919 PGS720919 PQO720919 QAK720919 QKG720919 QUC720919 RDY720919 RNU720919 RXQ720919 SHM720919 SRI720919 TBE720919 TLA720919 TUW720919 UES720919 UOO720919 UYK720919 VIG720919 VSC720919 WBY720919 WLU720919 WVQ720919 S786455 JE786455 TA786455 ACW786455 AMS786455 AWO786455 BGK786455 BQG786455 CAC786455 CJY786455 CTU786455 DDQ786455 DNM786455 DXI786455 EHE786455 ERA786455 FAW786455 FKS786455 FUO786455 GEK786455 GOG786455 GYC786455 HHY786455 HRU786455 IBQ786455 ILM786455 IVI786455 JFE786455 JPA786455 JYW786455 KIS786455 KSO786455 LCK786455 LMG786455 LWC786455 MFY786455 MPU786455 MZQ786455 NJM786455 NTI786455 ODE786455 ONA786455 OWW786455 PGS786455 PQO786455 QAK786455 QKG786455 QUC786455 RDY786455 RNU786455 RXQ786455 SHM786455 SRI786455 TBE786455 TLA786455 TUW786455 UES786455 UOO786455 UYK786455 VIG786455 VSC786455 WBY786455 WLU786455 WVQ786455 S851991 JE851991 TA851991 ACW851991 AMS851991 AWO851991 BGK851991 BQG851991 CAC851991 CJY851991 CTU851991 DDQ851991 DNM851991 DXI851991 EHE851991 ERA851991 FAW851991 FKS851991 FUO851991 GEK851991 GOG851991 GYC851991 HHY851991 HRU851991 IBQ851991 ILM851991 IVI851991 JFE851991 JPA851991 JYW851991 KIS851991 KSO851991 LCK851991 LMG851991 LWC851991 MFY851991 MPU851991 MZQ851991 NJM851991 NTI851991 ODE851991 ONA851991 OWW851991 PGS851991 PQO851991 QAK851991 QKG851991 QUC851991 RDY851991 RNU851991 RXQ851991 SHM851991 SRI851991 TBE851991 TLA851991 TUW851991 UES851991 UOO851991 UYK851991 VIG851991 VSC851991 WBY851991 WLU851991 WVQ851991 S917527 JE917527 TA917527 ACW917527 AMS917527 AWO917527 BGK917527 BQG917527 CAC917527 CJY917527 CTU917527 DDQ917527 DNM917527 DXI917527 EHE917527 ERA917527 FAW917527 FKS917527 FUO917527 GEK917527 GOG917527 GYC917527 HHY917527 HRU917527 IBQ917527 ILM917527 IVI917527 JFE917527 JPA917527 JYW917527 KIS917527 KSO917527 LCK917527 LMG917527 LWC917527 MFY917527 MPU917527 MZQ917527 NJM917527 NTI917527 ODE917527 ONA917527 OWW917527 PGS917527 PQO917527 QAK917527 QKG917527 QUC917527 RDY917527 RNU917527 RXQ917527 SHM917527 SRI917527 TBE917527 TLA917527 TUW917527 UES917527 UOO917527 UYK917527 VIG917527 VSC917527 WBY917527 WLU917527 WVQ917527 S983063 JE983063 TA983063 ACW983063 AMS983063 AWO983063 BGK983063 BQG983063 CAC983063 CJY983063 CTU983063 DDQ983063 DNM983063 DXI983063 EHE983063 ERA983063 FAW983063 FKS983063 FUO983063 GEK983063 GOG983063 GYC983063 HHY983063 HRU983063 IBQ983063 ILM983063 IVI983063 JFE983063 JPA983063 JYW983063 KIS983063 KSO983063 LCK983063 LMG983063 LWC983063 MFY983063 MPU983063 MZQ983063 NJM983063 NTI983063 ODE983063 ONA983063 OWW983063 PGS983063 PQO983063 QAK983063 QKG983063 QUC983063 RDY983063 RNU983063 RXQ983063 SHM983063 SRI983063 TBE983063 TLA983063 TUW983063 UES983063 UOO983063 UYK983063 VIG983063 VSC983063 WBY983063 WLU983063 TC23"/>
    <dataValidation type="decimal" allowBlank="1" showErrorMessage="1" errorTitle="Ошибка" error="Допускается ввод только действительных чисел!" sqref="ACU23:ACV23 AMQ23:AMR23 AWM23:AWN23 BGI23:BGJ23 BQE23:BQF23 CAA23:CAB23 CJW23:CJX23 CTS23:CTT23 DDO23:DDP23 DNK23:DNL23 DXG23:DXH23 EHC23:EHD23 EQY23:EQZ23 FAU23:FAV23 FKQ23:FKR23 FUM23:FUN23 GEI23:GEJ23 GOE23:GOF23 GYA23:GYB23 HHW23:HHX23 HRS23:HRT23 IBO23:IBP23 ILK23:ILL23 IVG23:IVH23 JFC23:JFD23 JOY23:JOZ23 JYU23:JYV23 KIQ23:KIR23 KSM23:KSN23 LCI23:LCJ23 LME23:LMF23 LWA23:LWB23 MFW23:MFX23 MPS23:MPT23 MZO23:MZP23 NJK23:NJL23 NTG23:NTH23 ODC23:ODD23 OMY23:OMZ23 OWU23:OWV23 PGQ23:PGR23 PQM23:PQN23 QAI23:QAJ23 QKE23:QKF23 QUA23:QUB23 RDW23:RDX23 RNS23:RNT23 RXO23:RXP23 SHK23:SHL23 SRG23:SRH23 TBC23:TBD23 TKY23:TKZ23 TUU23:TUV23 UEQ23:UER23 UOM23:UON23 UYI23:UYJ23 VIE23:VIF23 VSA23:VSB23 WBW23:WBX23 WLS23:WLT23 WVO23:WVP23 Q23:R23 JC23:JD23 WVO983063:WVP983063 Q65559:R65559 JC65559:JD65559 SY65559:SZ65559 ACU65559:ACV65559 AMQ65559:AMR65559 AWM65559:AWN65559 BGI65559:BGJ65559 BQE65559:BQF65559 CAA65559:CAB65559 CJW65559:CJX65559 CTS65559:CTT65559 DDO65559:DDP65559 DNK65559:DNL65559 DXG65559:DXH65559 EHC65559:EHD65559 EQY65559:EQZ65559 FAU65559:FAV65559 FKQ65559:FKR65559 FUM65559:FUN65559 GEI65559:GEJ65559 GOE65559:GOF65559 GYA65559:GYB65559 HHW65559:HHX65559 HRS65559:HRT65559 IBO65559:IBP65559 ILK65559:ILL65559 IVG65559:IVH65559 JFC65559:JFD65559 JOY65559:JOZ65559 JYU65559:JYV65559 KIQ65559:KIR65559 KSM65559:KSN65559 LCI65559:LCJ65559 LME65559:LMF65559 LWA65559:LWB65559 MFW65559:MFX65559 MPS65559:MPT65559 MZO65559:MZP65559 NJK65559:NJL65559 NTG65559:NTH65559 ODC65559:ODD65559 OMY65559:OMZ65559 OWU65559:OWV65559 PGQ65559:PGR65559 PQM65559:PQN65559 QAI65559:QAJ65559 QKE65559:QKF65559 QUA65559:QUB65559 RDW65559:RDX65559 RNS65559:RNT65559 RXO65559:RXP65559 SHK65559:SHL65559 SRG65559:SRH65559 TBC65559:TBD65559 TKY65559:TKZ65559 TUU65559:TUV65559 UEQ65559:UER65559 UOM65559:UON65559 UYI65559:UYJ65559 VIE65559:VIF65559 VSA65559:VSB65559 WBW65559:WBX65559 WLS65559:WLT65559 WVO65559:WVP65559 Q131095:R131095 JC131095:JD131095 SY131095:SZ131095 ACU131095:ACV131095 AMQ131095:AMR131095 AWM131095:AWN131095 BGI131095:BGJ131095 BQE131095:BQF131095 CAA131095:CAB131095 CJW131095:CJX131095 CTS131095:CTT131095 DDO131095:DDP131095 DNK131095:DNL131095 DXG131095:DXH131095 EHC131095:EHD131095 EQY131095:EQZ131095 FAU131095:FAV131095 FKQ131095:FKR131095 FUM131095:FUN131095 GEI131095:GEJ131095 GOE131095:GOF131095 GYA131095:GYB131095 HHW131095:HHX131095 HRS131095:HRT131095 IBO131095:IBP131095 ILK131095:ILL131095 IVG131095:IVH131095 JFC131095:JFD131095 JOY131095:JOZ131095 JYU131095:JYV131095 KIQ131095:KIR131095 KSM131095:KSN131095 LCI131095:LCJ131095 LME131095:LMF131095 LWA131095:LWB131095 MFW131095:MFX131095 MPS131095:MPT131095 MZO131095:MZP131095 NJK131095:NJL131095 NTG131095:NTH131095 ODC131095:ODD131095 OMY131095:OMZ131095 OWU131095:OWV131095 PGQ131095:PGR131095 PQM131095:PQN131095 QAI131095:QAJ131095 QKE131095:QKF131095 QUA131095:QUB131095 RDW131095:RDX131095 RNS131095:RNT131095 RXO131095:RXP131095 SHK131095:SHL131095 SRG131095:SRH131095 TBC131095:TBD131095 TKY131095:TKZ131095 TUU131095:TUV131095 UEQ131095:UER131095 UOM131095:UON131095 UYI131095:UYJ131095 VIE131095:VIF131095 VSA131095:VSB131095 WBW131095:WBX131095 WLS131095:WLT131095 WVO131095:WVP131095 Q196631:R196631 JC196631:JD196631 SY196631:SZ196631 ACU196631:ACV196631 AMQ196631:AMR196631 AWM196631:AWN196631 BGI196631:BGJ196631 BQE196631:BQF196631 CAA196631:CAB196631 CJW196631:CJX196631 CTS196631:CTT196631 DDO196631:DDP196631 DNK196631:DNL196631 DXG196631:DXH196631 EHC196631:EHD196631 EQY196631:EQZ196631 FAU196631:FAV196631 FKQ196631:FKR196631 FUM196631:FUN196631 GEI196631:GEJ196631 GOE196631:GOF196631 GYA196631:GYB196631 HHW196631:HHX196631 HRS196631:HRT196631 IBO196631:IBP196631 ILK196631:ILL196631 IVG196631:IVH196631 JFC196631:JFD196631 JOY196631:JOZ196631 JYU196631:JYV196631 KIQ196631:KIR196631 KSM196631:KSN196631 LCI196631:LCJ196631 LME196631:LMF196631 LWA196631:LWB196631 MFW196631:MFX196631 MPS196631:MPT196631 MZO196631:MZP196631 NJK196631:NJL196631 NTG196631:NTH196631 ODC196631:ODD196631 OMY196631:OMZ196631 OWU196631:OWV196631 PGQ196631:PGR196631 PQM196631:PQN196631 QAI196631:QAJ196631 QKE196631:QKF196631 QUA196631:QUB196631 RDW196631:RDX196631 RNS196631:RNT196631 RXO196631:RXP196631 SHK196631:SHL196631 SRG196631:SRH196631 TBC196631:TBD196631 TKY196631:TKZ196631 TUU196631:TUV196631 UEQ196631:UER196631 UOM196631:UON196631 UYI196631:UYJ196631 VIE196631:VIF196631 VSA196631:VSB196631 WBW196631:WBX196631 WLS196631:WLT196631 WVO196631:WVP196631 Q262167:R262167 JC262167:JD262167 SY262167:SZ262167 ACU262167:ACV262167 AMQ262167:AMR262167 AWM262167:AWN262167 BGI262167:BGJ262167 BQE262167:BQF262167 CAA262167:CAB262167 CJW262167:CJX262167 CTS262167:CTT262167 DDO262167:DDP262167 DNK262167:DNL262167 DXG262167:DXH262167 EHC262167:EHD262167 EQY262167:EQZ262167 FAU262167:FAV262167 FKQ262167:FKR262167 FUM262167:FUN262167 GEI262167:GEJ262167 GOE262167:GOF262167 GYA262167:GYB262167 HHW262167:HHX262167 HRS262167:HRT262167 IBO262167:IBP262167 ILK262167:ILL262167 IVG262167:IVH262167 JFC262167:JFD262167 JOY262167:JOZ262167 JYU262167:JYV262167 KIQ262167:KIR262167 KSM262167:KSN262167 LCI262167:LCJ262167 LME262167:LMF262167 LWA262167:LWB262167 MFW262167:MFX262167 MPS262167:MPT262167 MZO262167:MZP262167 NJK262167:NJL262167 NTG262167:NTH262167 ODC262167:ODD262167 OMY262167:OMZ262167 OWU262167:OWV262167 PGQ262167:PGR262167 PQM262167:PQN262167 QAI262167:QAJ262167 QKE262167:QKF262167 QUA262167:QUB262167 RDW262167:RDX262167 RNS262167:RNT262167 RXO262167:RXP262167 SHK262167:SHL262167 SRG262167:SRH262167 TBC262167:TBD262167 TKY262167:TKZ262167 TUU262167:TUV262167 UEQ262167:UER262167 UOM262167:UON262167 UYI262167:UYJ262167 VIE262167:VIF262167 VSA262167:VSB262167 WBW262167:WBX262167 WLS262167:WLT262167 WVO262167:WVP262167 Q327703:R327703 JC327703:JD327703 SY327703:SZ327703 ACU327703:ACV327703 AMQ327703:AMR327703 AWM327703:AWN327703 BGI327703:BGJ327703 BQE327703:BQF327703 CAA327703:CAB327703 CJW327703:CJX327703 CTS327703:CTT327703 DDO327703:DDP327703 DNK327703:DNL327703 DXG327703:DXH327703 EHC327703:EHD327703 EQY327703:EQZ327703 FAU327703:FAV327703 FKQ327703:FKR327703 FUM327703:FUN327703 GEI327703:GEJ327703 GOE327703:GOF327703 GYA327703:GYB327703 HHW327703:HHX327703 HRS327703:HRT327703 IBO327703:IBP327703 ILK327703:ILL327703 IVG327703:IVH327703 JFC327703:JFD327703 JOY327703:JOZ327703 JYU327703:JYV327703 KIQ327703:KIR327703 KSM327703:KSN327703 LCI327703:LCJ327703 LME327703:LMF327703 LWA327703:LWB327703 MFW327703:MFX327703 MPS327703:MPT327703 MZO327703:MZP327703 NJK327703:NJL327703 NTG327703:NTH327703 ODC327703:ODD327703 OMY327703:OMZ327703 OWU327703:OWV327703 PGQ327703:PGR327703 PQM327703:PQN327703 QAI327703:QAJ327703 QKE327703:QKF327703 QUA327703:QUB327703 RDW327703:RDX327703 RNS327703:RNT327703 RXO327703:RXP327703 SHK327703:SHL327703 SRG327703:SRH327703 TBC327703:TBD327703 TKY327703:TKZ327703 TUU327703:TUV327703 UEQ327703:UER327703 UOM327703:UON327703 UYI327703:UYJ327703 VIE327703:VIF327703 VSA327703:VSB327703 WBW327703:WBX327703 WLS327703:WLT327703 WVO327703:WVP327703 Q393239:R393239 JC393239:JD393239 SY393239:SZ393239 ACU393239:ACV393239 AMQ393239:AMR393239 AWM393239:AWN393239 BGI393239:BGJ393239 BQE393239:BQF393239 CAA393239:CAB393239 CJW393239:CJX393239 CTS393239:CTT393239 DDO393239:DDP393239 DNK393239:DNL393239 DXG393239:DXH393239 EHC393239:EHD393239 EQY393239:EQZ393239 FAU393239:FAV393239 FKQ393239:FKR393239 FUM393239:FUN393239 GEI393239:GEJ393239 GOE393239:GOF393239 GYA393239:GYB393239 HHW393239:HHX393239 HRS393239:HRT393239 IBO393239:IBP393239 ILK393239:ILL393239 IVG393239:IVH393239 JFC393239:JFD393239 JOY393239:JOZ393239 JYU393239:JYV393239 KIQ393239:KIR393239 KSM393239:KSN393239 LCI393239:LCJ393239 LME393239:LMF393239 LWA393239:LWB393239 MFW393239:MFX393239 MPS393239:MPT393239 MZO393239:MZP393239 NJK393239:NJL393239 NTG393239:NTH393239 ODC393239:ODD393239 OMY393239:OMZ393239 OWU393239:OWV393239 PGQ393239:PGR393239 PQM393239:PQN393239 QAI393239:QAJ393239 QKE393239:QKF393239 QUA393239:QUB393239 RDW393239:RDX393239 RNS393239:RNT393239 RXO393239:RXP393239 SHK393239:SHL393239 SRG393239:SRH393239 TBC393239:TBD393239 TKY393239:TKZ393239 TUU393239:TUV393239 UEQ393239:UER393239 UOM393239:UON393239 UYI393239:UYJ393239 VIE393239:VIF393239 VSA393239:VSB393239 WBW393239:WBX393239 WLS393239:WLT393239 WVO393239:WVP393239 Q458775:R458775 JC458775:JD458775 SY458775:SZ458775 ACU458775:ACV458775 AMQ458775:AMR458775 AWM458775:AWN458775 BGI458775:BGJ458775 BQE458775:BQF458775 CAA458775:CAB458775 CJW458775:CJX458775 CTS458775:CTT458775 DDO458775:DDP458775 DNK458775:DNL458775 DXG458775:DXH458775 EHC458775:EHD458775 EQY458775:EQZ458775 FAU458775:FAV458775 FKQ458775:FKR458775 FUM458775:FUN458775 GEI458775:GEJ458775 GOE458775:GOF458775 GYA458775:GYB458775 HHW458775:HHX458775 HRS458775:HRT458775 IBO458775:IBP458775 ILK458775:ILL458775 IVG458775:IVH458775 JFC458775:JFD458775 JOY458775:JOZ458775 JYU458775:JYV458775 KIQ458775:KIR458775 KSM458775:KSN458775 LCI458775:LCJ458775 LME458775:LMF458775 LWA458775:LWB458775 MFW458775:MFX458775 MPS458775:MPT458775 MZO458775:MZP458775 NJK458775:NJL458775 NTG458775:NTH458775 ODC458775:ODD458775 OMY458775:OMZ458775 OWU458775:OWV458775 PGQ458775:PGR458775 PQM458775:PQN458775 QAI458775:QAJ458775 QKE458775:QKF458775 QUA458775:QUB458775 RDW458775:RDX458775 RNS458775:RNT458775 RXO458775:RXP458775 SHK458775:SHL458775 SRG458775:SRH458775 TBC458775:TBD458775 TKY458775:TKZ458775 TUU458775:TUV458775 UEQ458775:UER458775 UOM458775:UON458775 UYI458775:UYJ458775 VIE458775:VIF458775 VSA458775:VSB458775 WBW458775:WBX458775 WLS458775:WLT458775 WVO458775:WVP458775 Q524311:R524311 JC524311:JD524311 SY524311:SZ524311 ACU524311:ACV524311 AMQ524311:AMR524311 AWM524311:AWN524311 BGI524311:BGJ524311 BQE524311:BQF524311 CAA524311:CAB524311 CJW524311:CJX524311 CTS524311:CTT524311 DDO524311:DDP524311 DNK524311:DNL524311 DXG524311:DXH524311 EHC524311:EHD524311 EQY524311:EQZ524311 FAU524311:FAV524311 FKQ524311:FKR524311 FUM524311:FUN524311 GEI524311:GEJ524311 GOE524311:GOF524311 GYA524311:GYB524311 HHW524311:HHX524311 HRS524311:HRT524311 IBO524311:IBP524311 ILK524311:ILL524311 IVG524311:IVH524311 JFC524311:JFD524311 JOY524311:JOZ524311 JYU524311:JYV524311 KIQ524311:KIR524311 KSM524311:KSN524311 LCI524311:LCJ524311 LME524311:LMF524311 LWA524311:LWB524311 MFW524311:MFX524311 MPS524311:MPT524311 MZO524311:MZP524311 NJK524311:NJL524311 NTG524311:NTH524311 ODC524311:ODD524311 OMY524311:OMZ524311 OWU524311:OWV524311 PGQ524311:PGR524311 PQM524311:PQN524311 QAI524311:QAJ524311 QKE524311:QKF524311 QUA524311:QUB524311 RDW524311:RDX524311 RNS524311:RNT524311 RXO524311:RXP524311 SHK524311:SHL524311 SRG524311:SRH524311 TBC524311:TBD524311 TKY524311:TKZ524311 TUU524311:TUV524311 UEQ524311:UER524311 UOM524311:UON524311 UYI524311:UYJ524311 VIE524311:VIF524311 VSA524311:VSB524311 WBW524311:WBX524311 WLS524311:WLT524311 WVO524311:WVP524311 Q589847:R589847 JC589847:JD589847 SY589847:SZ589847 ACU589847:ACV589847 AMQ589847:AMR589847 AWM589847:AWN589847 BGI589847:BGJ589847 BQE589847:BQF589847 CAA589847:CAB589847 CJW589847:CJX589847 CTS589847:CTT589847 DDO589847:DDP589847 DNK589847:DNL589847 DXG589847:DXH589847 EHC589847:EHD589847 EQY589847:EQZ589847 FAU589847:FAV589847 FKQ589847:FKR589847 FUM589847:FUN589847 GEI589847:GEJ589847 GOE589847:GOF589847 GYA589847:GYB589847 HHW589847:HHX589847 HRS589847:HRT589847 IBO589847:IBP589847 ILK589847:ILL589847 IVG589847:IVH589847 JFC589847:JFD589847 JOY589847:JOZ589847 JYU589847:JYV589847 KIQ589847:KIR589847 KSM589847:KSN589847 LCI589847:LCJ589847 LME589847:LMF589847 LWA589847:LWB589847 MFW589847:MFX589847 MPS589847:MPT589847 MZO589847:MZP589847 NJK589847:NJL589847 NTG589847:NTH589847 ODC589847:ODD589847 OMY589847:OMZ589847 OWU589847:OWV589847 PGQ589847:PGR589847 PQM589847:PQN589847 QAI589847:QAJ589847 QKE589847:QKF589847 QUA589847:QUB589847 RDW589847:RDX589847 RNS589847:RNT589847 RXO589847:RXP589847 SHK589847:SHL589847 SRG589847:SRH589847 TBC589847:TBD589847 TKY589847:TKZ589847 TUU589847:TUV589847 UEQ589847:UER589847 UOM589847:UON589847 UYI589847:UYJ589847 VIE589847:VIF589847 VSA589847:VSB589847 WBW589847:WBX589847 WLS589847:WLT589847 WVO589847:WVP589847 Q655383:R655383 JC655383:JD655383 SY655383:SZ655383 ACU655383:ACV655383 AMQ655383:AMR655383 AWM655383:AWN655383 BGI655383:BGJ655383 BQE655383:BQF655383 CAA655383:CAB655383 CJW655383:CJX655383 CTS655383:CTT655383 DDO655383:DDP655383 DNK655383:DNL655383 DXG655383:DXH655383 EHC655383:EHD655383 EQY655383:EQZ655383 FAU655383:FAV655383 FKQ655383:FKR655383 FUM655383:FUN655383 GEI655383:GEJ655383 GOE655383:GOF655383 GYA655383:GYB655383 HHW655383:HHX655383 HRS655383:HRT655383 IBO655383:IBP655383 ILK655383:ILL655383 IVG655383:IVH655383 JFC655383:JFD655383 JOY655383:JOZ655383 JYU655383:JYV655383 KIQ655383:KIR655383 KSM655383:KSN655383 LCI655383:LCJ655383 LME655383:LMF655383 LWA655383:LWB655383 MFW655383:MFX655383 MPS655383:MPT655383 MZO655383:MZP655383 NJK655383:NJL655383 NTG655383:NTH655383 ODC655383:ODD655383 OMY655383:OMZ655383 OWU655383:OWV655383 PGQ655383:PGR655383 PQM655383:PQN655383 QAI655383:QAJ655383 QKE655383:QKF655383 QUA655383:QUB655383 RDW655383:RDX655383 RNS655383:RNT655383 RXO655383:RXP655383 SHK655383:SHL655383 SRG655383:SRH655383 TBC655383:TBD655383 TKY655383:TKZ655383 TUU655383:TUV655383 UEQ655383:UER655383 UOM655383:UON655383 UYI655383:UYJ655383 VIE655383:VIF655383 VSA655383:VSB655383 WBW655383:WBX655383 WLS655383:WLT655383 WVO655383:WVP655383 Q720919:R720919 JC720919:JD720919 SY720919:SZ720919 ACU720919:ACV720919 AMQ720919:AMR720919 AWM720919:AWN720919 BGI720919:BGJ720919 BQE720919:BQF720919 CAA720919:CAB720919 CJW720919:CJX720919 CTS720919:CTT720919 DDO720919:DDP720919 DNK720919:DNL720919 DXG720919:DXH720919 EHC720919:EHD720919 EQY720919:EQZ720919 FAU720919:FAV720919 FKQ720919:FKR720919 FUM720919:FUN720919 GEI720919:GEJ720919 GOE720919:GOF720919 GYA720919:GYB720919 HHW720919:HHX720919 HRS720919:HRT720919 IBO720919:IBP720919 ILK720919:ILL720919 IVG720919:IVH720919 JFC720919:JFD720919 JOY720919:JOZ720919 JYU720919:JYV720919 KIQ720919:KIR720919 KSM720919:KSN720919 LCI720919:LCJ720919 LME720919:LMF720919 LWA720919:LWB720919 MFW720919:MFX720919 MPS720919:MPT720919 MZO720919:MZP720919 NJK720919:NJL720919 NTG720919:NTH720919 ODC720919:ODD720919 OMY720919:OMZ720919 OWU720919:OWV720919 PGQ720919:PGR720919 PQM720919:PQN720919 QAI720919:QAJ720919 QKE720919:QKF720919 QUA720919:QUB720919 RDW720919:RDX720919 RNS720919:RNT720919 RXO720919:RXP720919 SHK720919:SHL720919 SRG720919:SRH720919 TBC720919:TBD720919 TKY720919:TKZ720919 TUU720919:TUV720919 UEQ720919:UER720919 UOM720919:UON720919 UYI720919:UYJ720919 VIE720919:VIF720919 VSA720919:VSB720919 WBW720919:WBX720919 WLS720919:WLT720919 WVO720919:WVP720919 Q786455:R786455 JC786455:JD786455 SY786455:SZ786455 ACU786455:ACV786455 AMQ786455:AMR786455 AWM786455:AWN786455 BGI786455:BGJ786455 BQE786455:BQF786455 CAA786455:CAB786455 CJW786455:CJX786455 CTS786455:CTT786455 DDO786455:DDP786455 DNK786455:DNL786455 DXG786455:DXH786455 EHC786455:EHD786455 EQY786455:EQZ786455 FAU786455:FAV786455 FKQ786455:FKR786455 FUM786455:FUN786455 GEI786455:GEJ786455 GOE786455:GOF786455 GYA786455:GYB786455 HHW786455:HHX786455 HRS786455:HRT786455 IBO786455:IBP786455 ILK786455:ILL786455 IVG786455:IVH786455 JFC786455:JFD786455 JOY786455:JOZ786455 JYU786455:JYV786455 KIQ786455:KIR786455 KSM786455:KSN786455 LCI786455:LCJ786455 LME786455:LMF786455 LWA786455:LWB786455 MFW786455:MFX786455 MPS786455:MPT786455 MZO786455:MZP786455 NJK786455:NJL786455 NTG786455:NTH786455 ODC786455:ODD786455 OMY786455:OMZ786455 OWU786455:OWV786455 PGQ786455:PGR786455 PQM786455:PQN786455 QAI786455:QAJ786455 QKE786455:QKF786455 QUA786455:QUB786455 RDW786455:RDX786455 RNS786455:RNT786455 RXO786455:RXP786455 SHK786455:SHL786455 SRG786455:SRH786455 TBC786455:TBD786455 TKY786455:TKZ786455 TUU786455:TUV786455 UEQ786455:UER786455 UOM786455:UON786455 UYI786455:UYJ786455 VIE786455:VIF786455 VSA786455:VSB786455 WBW786455:WBX786455 WLS786455:WLT786455 WVO786455:WVP786455 Q851991:R851991 JC851991:JD851991 SY851991:SZ851991 ACU851991:ACV851991 AMQ851991:AMR851991 AWM851991:AWN851991 BGI851991:BGJ851991 BQE851991:BQF851991 CAA851991:CAB851991 CJW851991:CJX851991 CTS851991:CTT851991 DDO851991:DDP851991 DNK851991:DNL851991 DXG851991:DXH851991 EHC851991:EHD851991 EQY851991:EQZ851991 FAU851991:FAV851991 FKQ851991:FKR851991 FUM851991:FUN851991 GEI851991:GEJ851991 GOE851991:GOF851991 GYA851991:GYB851991 HHW851991:HHX851991 HRS851991:HRT851991 IBO851991:IBP851991 ILK851991:ILL851991 IVG851991:IVH851991 JFC851991:JFD851991 JOY851991:JOZ851991 JYU851991:JYV851991 KIQ851991:KIR851991 KSM851991:KSN851991 LCI851991:LCJ851991 LME851991:LMF851991 LWA851991:LWB851991 MFW851991:MFX851991 MPS851991:MPT851991 MZO851991:MZP851991 NJK851991:NJL851991 NTG851991:NTH851991 ODC851991:ODD851991 OMY851991:OMZ851991 OWU851991:OWV851991 PGQ851991:PGR851991 PQM851991:PQN851991 QAI851991:QAJ851991 QKE851991:QKF851991 QUA851991:QUB851991 RDW851991:RDX851991 RNS851991:RNT851991 RXO851991:RXP851991 SHK851991:SHL851991 SRG851991:SRH851991 TBC851991:TBD851991 TKY851991:TKZ851991 TUU851991:TUV851991 UEQ851991:UER851991 UOM851991:UON851991 UYI851991:UYJ851991 VIE851991:VIF851991 VSA851991:VSB851991 WBW851991:WBX851991 WLS851991:WLT851991 WVO851991:WVP851991 Q917527:R917527 JC917527:JD917527 SY917527:SZ917527 ACU917527:ACV917527 AMQ917527:AMR917527 AWM917527:AWN917527 BGI917527:BGJ917527 BQE917527:BQF917527 CAA917527:CAB917527 CJW917527:CJX917527 CTS917527:CTT917527 DDO917527:DDP917527 DNK917527:DNL917527 DXG917527:DXH917527 EHC917527:EHD917527 EQY917527:EQZ917527 FAU917527:FAV917527 FKQ917527:FKR917527 FUM917527:FUN917527 GEI917527:GEJ917527 GOE917527:GOF917527 GYA917527:GYB917527 HHW917527:HHX917527 HRS917527:HRT917527 IBO917527:IBP917527 ILK917527:ILL917527 IVG917527:IVH917527 JFC917527:JFD917527 JOY917527:JOZ917527 JYU917527:JYV917527 KIQ917527:KIR917527 KSM917527:KSN917527 LCI917527:LCJ917527 LME917527:LMF917527 LWA917527:LWB917527 MFW917527:MFX917527 MPS917527:MPT917527 MZO917527:MZP917527 NJK917527:NJL917527 NTG917527:NTH917527 ODC917527:ODD917527 OMY917527:OMZ917527 OWU917527:OWV917527 PGQ917527:PGR917527 PQM917527:PQN917527 QAI917527:QAJ917527 QKE917527:QKF917527 QUA917527:QUB917527 RDW917527:RDX917527 RNS917527:RNT917527 RXO917527:RXP917527 SHK917527:SHL917527 SRG917527:SRH917527 TBC917527:TBD917527 TKY917527:TKZ917527 TUU917527:TUV917527 UEQ917527:UER917527 UOM917527:UON917527 UYI917527:UYJ917527 VIE917527:VIF917527 VSA917527:VSB917527 WBW917527:WBX917527 WLS917527:WLT917527 WVO917527:WVP917527 Q983063:R983063 JC983063:JD983063 SY983063:SZ983063 ACU983063:ACV983063 AMQ983063:AMR983063 AWM983063:AWN983063 BGI983063:BGJ983063 BQE983063:BQF983063 CAA983063:CAB983063 CJW983063:CJX983063 CTS983063:CTT983063 DDO983063:DDP983063 DNK983063:DNL983063 DXG983063:DXH983063 EHC983063:EHD983063 EQY983063:EQZ983063 FAU983063:FAV983063 FKQ983063:FKR983063 FUM983063:FUN983063 GEI983063:GEJ983063 GOE983063:GOF983063 GYA983063:GYB983063 HHW983063:HHX983063 HRS983063:HRT983063 IBO983063:IBP983063 ILK983063:ILL983063 IVG983063:IVH983063 JFC983063:JFD983063 JOY983063:JOZ983063 JYU983063:JYV983063 KIQ983063:KIR983063 KSM983063:KSN983063 LCI983063:LCJ983063 LME983063:LMF983063 LWA983063:LWB983063 MFW983063:MFX983063 MPS983063:MPT983063 MZO983063:MZP983063 NJK983063:NJL983063 NTG983063:NTH983063 ODC983063:ODD983063 OMY983063:OMZ983063 OWU983063:OWV983063 PGQ983063:PGR983063 PQM983063:PQN983063 QAI983063:QAJ983063 QKE983063:QKF983063 QUA983063:QUB983063 RDW983063:RDX983063 RNS983063:RNT983063 RXO983063:RXP983063 SHK983063:SHL983063 SRG983063:SRH983063 TBC983063:TBD983063 TKY983063:TKZ983063 TUU983063:TUV983063 UEQ983063:UER983063 UOM983063:UON983063 UYI983063:UYJ983063 VIE983063:VIF983063 VSA983063:VSB983063 WBW983063:WBX983063 WLS983063:WLT983063 SY23:SZ23">
      <formula1>-9.99999999999999E+23</formula1>
      <formula2>9.99999999999999E+23</formula2>
    </dataValidation>
    <dataValidation allowBlank="1" showInputMessage="1" showErrorMessage="1" prompt="Для выбора выполните двойной щелчок левой клавиши мыши по соответствующей ячейке." sqref="ACX23 AMT23 AWP23 BGL23 BQH23 CAD23 CJZ23 CTV23 DDR23 DNN23 DXJ23 EHF23 ERB23 FAX23 FKT23 FUP23 GEL23 GOH23 GYD23 HHZ23 HRV23 IBR23 ILN23 IVJ23 JFF23 JPB23 JYX23 KIT23 KSP23 LCL23 LMH23 LWD23 MFZ23 MPV23 MZR23 NJN23 NTJ23 ODF23 ONB23 OWX23 PGT23 PQP23 QAL23 QKH23 QUD23 RDZ23 RNV23 RXR23 SHN23 SRJ23 TBF23 TLB23 TUX23 UET23 UOP23 UYL23 VIH23 VSD23 WBZ23 WLV23 WVR23 JH23 TD23 V131095 T65559 JF65559 TB65559 ACX65559 AMT65559 AWP65559 BGL65559 BQH65559 CAD65559 CJZ65559 CTV65559 DDR65559 DNN65559 DXJ65559 EHF65559 ERB65559 FAX65559 FKT65559 FUP65559 GEL65559 GOH65559 GYD65559 HHZ65559 HRV65559 IBR65559 ILN65559 IVJ65559 JFF65559 JPB65559 JYX65559 KIT65559 KSP65559 LCL65559 LMH65559 LWD65559 MFZ65559 MPV65559 MZR65559 NJN65559 NTJ65559 ODF65559 ONB65559 OWX65559 PGT65559 PQP65559 QAL65559 QKH65559 QUD65559 RDZ65559 RNV65559 RXR65559 SHN65559 SRJ65559 TBF65559 TLB65559 TUX65559 UET65559 UOP65559 UYL65559 VIH65559 VSD65559 WBZ65559 WLV65559 WVR65559 T131095 JF131095 TB131095 ACX131095 AMT131095 AWP131095 BGL131095 BQH131095 CAD131095 CJZ131095 CTV131095 DDR131095 DNN131095 DXJ131095 EHF131095 ERB131095 FAX131095 FKT131095 FUP131095 GEL131095 GOH131095 GYD131095 HHZ131095 HRV131095 IBR131095 ILN131095 IVJ131095 JFF131095 JPB131095 JYX131095 KIT131095 KSP131095 LCL131095 LMH131095 LWD131095 MFZ131095 MPV131095 MZR131095 NJN131095 NTJ131095 ODF131095 ONB131095 OWX131095 PGT131095 PQP131095 QAL131095 QKH131095 QUD131095 RDZ131095 RNV131095 RXR131095 SHN131095 SRJ131095 TBF131095 TLB131095 TUX131095 UET131095 UOP131095 UYL131095 VIH131095 VSD131095 WBZ131095 WLV131095 WVR131095 T196631 JF196631 TB196631 ACX196631 AMT196631 AWP196631 BGL196631 BQH196631 CAD196631 CJZ196631 CTV196631 DDR196631 DNN196631 DXJ196631 EHF196631 ERB196631 FAX196631 FKT196631 FUP196631 GEL196631 GOH196631 GYD196631 HHZ196631 HRV196631 IBR196631 ILN196631 IVJ196631 JFF196631 JPB196631 JYX196631 KIT196631 KSP196631 LCL196631 LMH196631 LWD196631 MFZ196631 MPV196631 MZR196631 NJN196631 NTJ196631 ODF196631 ONB196631 OWX196631 PGT196631 PQP196631 QAL196631 QKH196631 QUD196631 RDZ196631 RNV196631 RXR196631 SHN196631 SRJ196631 TBF196631 TLB196631 TUX196631 UET196631 UOP196631 UYL196631 VIH196631 VSD196631 WBZ196631 WLV196631 WVR196631 T262167 JF262167 TB262167 ACX262167 AMT262167 AWP262167 BGL262167 BQH262167 CAD262167 CJZ262167 CTV262167 DDR262167 DNN262167 DXJ262167 EHF262167 ERB262167 FAX262167 FKT262167 FUP262167 GEL262167 GOH262167 GYD262167 HHZ262167 HRV262167 IBR262167 ILN262167 IVJ262167 JFF262167 JPB262167 JYX262167 KIT262167 KSP262167 LCL262167 LMH262167 LWD262167 MFZ262167 MPV262167 MZR262167 NJN262167 NTJ262167 ODF262167 ONB262167 OWX262167 PGT262167 PQP262167 QAL262167 QKH262167 QUD262167 RDZ262167 RNV262167 RXR262167 SHN262167 SRJ262167 TBF262167 TLB262167 TUX262167 UET262167 UOP262167 UYL262167 VIH262167 VSD262167 WBZ262167 WLV262167 WVR262167 T327703 JF327703 TB327703 ACX327703 AMT327703 AWP327703 BGL327703 BQH327703 CAD327703 CJZ327703 CTV327703 DDR327703 DNN327703 DXJ327703 EHF327703 ERB327703 FAX327703 FKT327703 FUP327703 GEL327703 GOH327703 GYD327703 HHZ327703 HRV327703 IBR327703 ILN327703 IVJ327703 JFF327703 JPB327703 JYX327703 KIT327703 KSP327703 LCL327703 LMH327703 LWD327703 MFZ327703 MPV327703 MZR327703 NJN327703 NTJ327703 ODF327703 ONB327703 OWX327703 PGT327703 PQP327703 QAL327703 QKH327703 QUD327703 RDZ327703 RNV327703 RXR327703 SHN327703 SRJ327703 TBF327703 TLB327703 TUX327703 UET327703 UOP327703 UYL327703 VIH327703 VSD327703 WBZ327703 WLV327703 WVR327703 T393239 JF393239 TB393239 ACX393239 AMT393239 AWP393239 BGL393239 BQH393239 CAD393239 CJZ393239 CTV393239 DDR393239 DNN393239 DXJ393239 EHF393239 ERB393239 FAX393239 FKT393239 FUP393239 GEL393239 GOH393239 GYD393239 HHZ393239 HRV393239 IBR393239 ILN393239 IVJ393239 JFF393239 JPB393239 JYX393239 KIT393239 KSP393239 LCL393239 LMH393239 LWD393239 MFZ393239 MPV393239 MZR393239 NJN393239 NTJ393239 ODF393239 ONB393239 OWX393239 PGT393239 PQP393239 QAL393239 QKH393239 QUD393239 RDZ393239 RNV393239 RXR393239 SHN393239 SRJ393239 TBF393239 TLB393239 TUX393239 UET393239 UOP393239 UYL393239 VIH393239 VSD393239 WBZ393239 WLV393239 WVR393239 T458775 JF458775 TB458775 ACX458775 AMT458775 AWP458775 BGL458775 BQH458775 CAD458775 CJZ458775 CTV458775 DDR458775 DNN458775 DXJ458775 EHF458775 ERB458775 FAX458775 FKT458775 FUP458775 GEL458775 GOH458775 GYD458775 HHZ458775 HRV458775 IBR458775 ILN458775 IVJ458775 JFF458775 JPB458775 JYX458775 KIT458775 KSP458775 LCL458775 LMH458775 LWD458775 MFZ458775 MPV458775 MZR458775 NJN458775 NTJ458775 ODF458775 ONB458775 OWX458775 PGT458775 PQP458775 QAL458775 QKH458775 QUD458775 RDZ458775 RNV458775 RXR458775 SHN458775 SRJ458775 TBF458775 TLB458775 TUX458775 UET458775 UOP458775 UYL458775 VIH458775 VSD458775 WBZ458775 WLV458775 WVR458775 T524311 JF524311 TB524311 ACX524311 AMT524311 AWP524311 BGL524311 BQH524311 CAD524311 CJZ524311 CTV524311 DDR524311 DNN524311 DXJ524311 EHF524311 ERB524311 FAX524311 FKT524311 FUP524311 GEL524311 GOH524311 GYD524311 HHZ524311 HRV524311 IBR524311 ILN524311 IVJ524311 JFF524311 JPB524311 JYX524311 KIT524311 KSP524311 LCL524311 LMH524311 LWD524311 MFZ524311 MPV524311 MZR524311 NJN524311 NTJ524311 ODF524311 ONB524311 OWX524311 PGT524311 PQP524311 QAL524311 QKH524311 QUD524311 RDZ524311 RNV524311 RXR524311 SHN524311 SRJ524311 TBF524311 TLB524311 TUX524311 UET524311 UOP524311 UYL524311 VIH524311 VSD524311 WBZ524311 WLV524311 WVR524311 T589847 JF589847 TB589847 ACX589847 AMT589847 AWP589847 BGL589847 BQH589847 CAD589847 CJZ589847 CTV589847 DDR589847 DNN589847 DXJ589847 EHF589847 ERB589847 FAX589847 FKT589847 FUP589847 GEL589847 GOH589847 GYD589847 HHZ589847 HRV589847 IBR589847 ILN589847 IVJ589847 JFF589847 JPB589847 JYX589847 KIT589847 KSP589847 LCL589847 LMH589847 LWD589847 MFZ589847 MPV589847 MZR589847 NJN589847 NTJ589847 ODF589847 ONB589847 OWX589847 PGT589847 PQP589847 QAL589847 QKH589847 QUD589847 RDZ589847 RNV589847 RXR589847 SHN589847 SRJ589847 TBF589847 TLB589847 TUX589847 UET589847 UOP589847 UYL589847 VIH589847 VSD589847 WBZ589847 WLV589847 WVR589847 T655383 JF655383 TB655383 ACX655383 AMT655383 AWP655383 BGL655383 BQH655383 CAD655383 CJZ655383 CTV655383 DDR655383 DNN655383 DXJ655383 EHF655383 ERB655383 FAX655383 FKT655383 FUP655383 GEL655383 GOH655383 GYD655383 HHZ655383 HRV655383 IBR655383 ILN655383 IVJ655383 JFF655383 JPB655383 JYX655383 KIT655383 KSP655383 LCL655383 LMH655383 LWD655383 MFZ655383 MPV655383 MZR655383 NJN655383 NTJ655383 ODF655383 ONB655383 OWX655383 PGT655383 PQP655383 QAL655383 QKH655383 QUD655383 RDZ655383 RNV655383 RXR655383 SHN655383 SRJ655383 TBF655383 TLB655383 TUX655383 UET655383 UOP655383 UYL655383 VIH655383 VSD655383 WBZ655383 WLV655383 WVR655383 T720919 JF720919 TB720919 ACX720919 AMT720919 AWP720919 BGL720919 BQH720919 CAD720919 CJZ720919 CTV720919 DDR720919 DNN720919 DXJ720919 EHF720919 ERB720919 FAX720919 FKT720919 FUP720919 GEL720919 GOH720919 GYD720919 HHZ720919 HRV720919 IBR720919 ILN720919 IVJ720919 JFF720919 JPB720919 JYX720919 KIT720919 KSP720919 LCL720919 LMH720919 LWD720919 MFZ720919 MPV720919 MZR720919 NJN720919 NTJ720919 ODF720919 ONB720919 OWX720919 PGT720919 PQP720919 QAL720919 QKH720919 QUD720919 RDZ720919 RNV720919 RXR720919 SHN720919 SRJ720919 TBF720919 TLB720919 TUX720919 UET720919 UOP720919 UYL720919 VIH720919 VSD720919 WBZ720919 WLV720919 WVR720919 T786455 JF786455 TB786455 ACX786455 AMT786455 AWP786455 BGL786455 BQH786455 CAD786455 CJZ786455 CTV786455 DDR786455 DNN786455 DXJ786455 EHF786455 ERB786455 FAX786455 FKT786455 FUP786455 GEL786455 GOH786455 GYD786455 HHZ786455 HRV786455 IBR786455 ILN786455 IVJ786455 JFF786455 JPB786455 JYX786455 KIT786455 KSP786455 LCL786455 LMH786455 LWD786455 MFZ786455 MPV786455 MZR786455 NJN786455 NTJ786455 ODF786455 ONB786455 OWX786455 PGT786455 PQP786455 QAL786455 QKH786455 QUD786455 RDZ786455 RNV786455 RXR786455 SHN786455 SRJ786455 TBF786455 TLB786455 TUX786455 UET786455 UOP786455 UYL786455 VIH786455 VSD786455 WBZ786455 WLV786455 WVR786455 T851991 JF851991 TB851991 ACX851991 AMT851991 AWP851991 BGL851991 BQH851991 CAD851991 CJZ851991 CTV851991 DDR851991 DNN851991 DXJ851991 EHF851991 ERB851991 FAX851991 FKT851991 FUP851991 GEL851991 GOH851991 GYD851991 HHZ851991 HRV851991 IBR851991 ILN851991 IVJ851991 JFF851991 JPB851991 JYX851991 KIT851991 KSP851991 LCL851991 LMH851991 LWD851991 MFZ851991 MPV851991 MZR851991 NJN851991 NTJ851991 ODF851991 ONB851991 OWX851991 PGT851991 PQP851991 QAL851991 QKH851991 QUD851991 RDZ851991 RNV851991 RXR851991 SHN851991 SRJ851991 TBF851991 TLB851991 TUX851991 UET851991 UOP851991 UYL851991 VIH851991 VSD851991 WBZ851991 WLV851991 WVR851991 T917527 JF917527 TB917527 ACX917527 AMT917527 AWP917527 BGL917527 BQH917527 CAD917527 CJZ917527 CTV917527 DDR917527 DNN917527 DXJ917527 EHF917527 ERB917527 FAX917527 FKT917527 FUP917527 GEL917527 GOH917527 GYD917527 HHZ917527 HRV917527 IBR917527 ILN917527 IVJ917527 JFF917527 JPB917527 JYX917527 KIT917527 KSP917527 LCL917527 LMH917527 LWD917527 MFZ917527 MPV917527 MZR917527 NJN917527 NTJ917527 ODF917527 ONB917527 OWX917527 PGT917527 PQP917527 QAL917527 QKH917527 QUD917527 RDZ917527 RNV917527 RXR917527 SHN917527 SRJ917527 TBF917527 TLB917527 TUX917527 UET917527 UOP917527 UYL917527 VIH917527 VSD917527 WBZ917527 WLV917527 WVR917527 T983063 JF983063 TB983063 ACX983063 AMT983063 AWP983063 BGL983063 BQH983063 CAD983063 CJZ983063 CTV983063 DDR983063 DNN983063 DXJ983063 EHF983063 ERB983063 FAX983063 FKT983063 FUP983063 GEL983063 GOH983063 GYD983063 HHZ983063 HRV983063 IBR983063 ILN983063 IVJ983063 JFF983063 JPB983063 JYX983063 KIT983063 KSP983063 LCL983063 LMH983063 LWD983063 MFZ983063 MPV983063 MZR983063 NJN983063 NTJ983063 ODF983063 ONB983063 OWX983063 PGT983063 PQP983063 QAL983063 QKH983063 QUD983063 RDZ983063 RNV983063 RXR983063 SHN983063 SRJ983063 TBF983063 TLB983063 TUX983063 UET983063 UOP983063 UYL983063 VIH983063 VSD983063 WBZ983063 WLV983063 WVR983063 ACZ23 AMV23 AWR23 BGN23 BQJ23 CAF23 CKB23 CTX23 DDT23 DNP23 DXL23 EHH23 ERD23 FAZ23 FKV23 FUR23 GEN23 GOJ23 GYF23 HIB23 HRX23 IBT23 ILP23 IVL23 JFH23 JPD23 JYZ23 KIV23 KSR23 LCN23 LMJ23 LWF23 MGB23 MPX23 MZT23 NJP23 NTL23 ODH23 OND23 OWZ23 PGV23 PQR23 QAN23 QKJ23 QUF23 REB23 RNX23 RXT23 SHP23 SRL23 TBH23 TLD23 TUZ23 UEV23 UOR23 UYN23 VIJ23 VSF23 WCB23 WLX23 WVT23 T23 V196631 JF23 V262167 JH65559 TD65559 ACZ65559 AMV65559 AWR65559 BGN65559 BQJ65559 CAF65559 CKB65559 CTX65559 DDT65559 DNP65559 DXL65559 EHH65559 ERD65559 FAZ65559 FKV65559 FUR65559 GEN65559 GOJ65559 GYF65559 HIB65559 HRX65559 IBT65559 ILP65559 IVL65559 JFH65559 JPD65559 JYZ65559 KIV65559 KSR65559 LCN65559 LMJ65559 LWF65559 MGB65559 MPX65559 MZT65559 NJP65559 NTL65559 ODH65559 OND65559 OWZ65559 PGV65559 PQR65559 QAN65559 QKJ65559 QUF65559 REB65559 RNX65559 RXT65559 SHP65559 SRL65559 TBH65559 TLD65559 TUZ65559 UEV65559 UOR65559 UYN65559 VIJ65559 VSF65559 WCB65559 WLX65559 WVT65559 V327703 JH131095 TD131095 ACZ131095 AMV131095 AWR131095 BGN131095 BQJ131095 CAF131095 CKB131095 CTX131095 DDT131095 DNP131095 DXL131095 EHH131095 ERD131095 FAZ131095 FKV131095 FUR131095 GEN131095 GOJ131095 GYF131095 HIB131095 HRX131095 IBT131095 ILP131095 IVL131095 JFH131095 JPD131095 JYZ131095 KIV131095 KSR131095 LCN131095 LMJ131095 LWF131095 MGB131095 MPX131095 MZT131095 NJP131095 NTL131095 ODH131095 OND131095 OWZ131095 PGV131095 PQR131095 QAN131095 QKJ131095 QUF131095 REB131095 RNX131095 RXT131095 SHP131095 SRL131095 TBH131095 TLD131095 TUZ131095 UEV131095 UOR131095 UYN131095 VIJ131095 VSF131095 WCB131095 WLX131095 WVT131095 V393239 JH196631 TD196631 ACZ196631 AMV196631 AWR196631 BGN196631 BQJ196631 CAF196631 CKB196631 CTX196631 DDT196631 DNP196631 DXL196631 EHH196631 ERD196631 FAZ196631 FKV196631 FUR196631 GEN196631 GOJ196631 GYF196631 HIB196631 HRX196631 IBT196631 ILP196631 IVL196631 JFH196631 JPD196631 JYZ196631 KIV196631 KSR196631 LCN196631 LMJ196631 LWF196631 MGB196631 MPX196631 MZT196631 NJP196631 NTL196631 ODH196631 OND196631 OWZ196631 PGV196631 PQR196631 QAN196631 QKJ196631 QUF196631 REB196631 RNX196631 RXT196631 SHP196631 SRL196631 TBH196631 TLD196631 TUZ196631 UEV196631 UOR196631 UYN196631 VIJ196631 VSF196631 WCB196631 WLX196631 WVT196631 V458775 JH262167 TD262167 ACZ262167 AMV262167 AWR262167 BGN262167 BQJ262167 CAF262167 CKB262167 CTX262167 DDT262167 DNP262167 DXL262167 EHH262167 ERD262167 FAZ262167 FKV262167 FUR262167 GEN262167 GOJ262167 GYF262167 HIB262167 HRX262167 IBT262167 ILP262167 IVL262167 JFH262167 JPD262167 JYZ262167 KIV262167 KSR262167 LCN262167 LMJ262167 LWF262167 MGB262167 MPX262167 MZT262167 NJP262167 NTL262167 ODH262167 OND262167 OWZ262167 PGV262167 PQR262167 QAN262167 QKJ262167 QUF262167 REB262167 RNX262167 RXT262167 SHP262167 SRL262167 TBH262167 TLD262167 TUZ262167 UEV262167 UOR262167 UYN262167 VIJ262167 VSF262167 WCB262167 WLX262167 WVT262167 V524311 JH327703 TD327703 ACZ327703 AMV327703 AWR327703 BGN327703 BQJ327703 CAF327703 CKB327703 CTX327703 DDT327703 DNP327703 DXL327703 EHH327703 ERD327703 FAZ327703 FKV327703 FUR327703 GEN327703 GOJ327703 GYF327703 HIB327703 HRX327703 IBT327703 ILP327703 IVL327703 JFH327703 JPD327703 JYZ327703 KIV327703 KSR327703 LCN327703 LMJ327703 LWF327703 MGB327703 MPX327703 MZT327703 NJP327703 NTL327703 ODH327703 OND327703 OWZ327703 PGV327703 PQR327703 QAN327703 QKJ327703 QUF327703 REB327703 RNX327703 RXT327703 SHP327703 SRL327703 TBH327703 TLD327703 TUZ327703 UEV327703 UOR327703 UYN327703 VIJ327703 VSF327703 WCB327703 WLX327703 WVT327703 V851991 JH393239 TD393239 ACZ393239 AMV393239 AWR393239 BGN393239 BQJ393239 CAF393239 CKB393239 CTX393239 DDT393239 DNP393239 DXL393239 EHH393239 ERD393239 FAZ393239 FKV393239 FUR393239 GEN393239 GOJ393239 GYF393239 HIB393239 HRX393239 IBT393239 ILP393239 IVL393239 JFH393239 JPD393239 JYZ393239 KIV393239 KSR393239 LCN393239 LMJ393239 LWF393239 MGB393239 MPX393239 MZT393239 NJP393239 NTL393239 ODH393239 OND393239 OWZ393239 PGV393239 PQR393239 QAN393239 QKJ393239 QUF393239 REB393239 RNX393239 RXT393239 SHP393239 SRL393239 TBH393239 TLD393239 TUZ393239 UEV393239 UOR393239 UYN393239 VIJ393239 VSF393239 WCB393239 WLX393239 WVT393239 V589847 JH458775 TD458775 ACZ458775 AMV458775 AWR458775 BGN458775 BQJ458775 CAF458775 CKB458775 CTX458775 DDT458775 DNP458775 DXL458775 EHH458775 ERD458775 FAZ458775 FKV458775 FUR458775 GEN458775 GOJ458775 GYF458775 HIB458775 HRX458775 IBT458775 ILP458775 IVL458775 JFH458775 JPD458775 JYZ458775 KIV458775 KSR458775 LCN458775 LMJ458775 LWF458775 MGB458775 MPX458775 MZT458775 NJP458775 NTL458775 ODH458775 OND458775 OWZ458775 PGV458775 PQR458775 QAN458775 QKJ458775 QUF458775 REB458775 RNX458775 RXT458775 SHP458775 SRL458775 TBH458775 TLD458775 TUZ458775 UEV458775 UOR458775 UYN458775 VIJ458775 VSF458775 WCB458775 WLX458775 WVT458775 V655383 JH524311 TD524311 ACZ524311 AMV524311 AWR524311 BGN524311 BQJ524311 CAF524311 CKB524311 CTX524311 DDT524311 DNP524311 DXL524311 EHH524311 ERD524311 FAZ524311 FKV524311 FUR524311 GEN524311 GOJ524311 GYF524311 HIB524311 HRX524311 IBT524311 ILP524311 IVL524311 JFH524311 JPD524311 JYZ524311 KIV524311 KSR524311 LCN524311 LMJ524311 LWF524311 MGB524311 MPX524311 MZT524311 NJP524311 NTL524311 ODH524311 OND524311 OWZ524311 PGV524311 PQR524311 QAN524311 QKJ524311 QUF524311 REB524311 RNX524311 RXT524311 SHP524311 SRL524311 TBH524311 TLD524311 TUZ524311 UEV524311 UOR524311 UYN524311 VIJ524311 VSF524311 WCB524311 WLX524311 WVT524311 V720919 JH589847 TD589847 ACZ589847 AMV589847 AWR589847 BGN589847 BQJ589847 CAF589847 CKB589847 CTX589847 DDT589847 DNP589847 DXL589847 EHH589847 ERD589847 FAZ589847 FKV589847 FUR589847 GEN589847 GOJ589847 GYF589847 HIB589847 HRX589847 IBT589847 ILP589847 IVL589847 JFH589847 JPD589847 JYZ589847 KIV589847 KSR589847 LCN589847 LMJ589847 LWF589847 MGB589847 MPX589847 MZT589847 NJP589847 NTL589847 ODH589847 OND589847 OWZ589847 PGV589847 PQR589847 QAN589847 QKJ589847 QUF589847 REB589847 RNX589847 RXT589847 SHP589847 SRL589847 TBH589847 TLD589847 TUZ589847 UEV589847 UOR589847 UYN589847 VIJ589847 VSF589847 WCB589847 WLX589847 WVT589847 V786455 JH655383 TD655383 ACZ655383 AMV655383 AWR655383 BGN655383 BQJ655383 CAF655383 CKB655383 CTX655383 DDT655383 DNP655383 DXL655383 EHH655383 ERD655383 FAZ655383 FKV655383 FUR655383 GEN655383 GOJ655383 GYF655383 HIB655383 HRX655383 IBT655383 ILP655383 IVL655383 JFH655383 JPD655383 JYZ655383 KIV655383 KSR655383 LCN655383 LMJ655383 LWF655383 MGB655383 MPX655383 MZT655383 NJP655383 NTL655383 ODH655383 OND655383 OWZ655383 PGV655383 PQR655383 QAN655383 QKJ655383 QUF655383 REB655383 RNX655383 RXT655383 SHP655383 SRL655383 TBH655383 TLD655383 TUZ655383 UEV655383 UOR655383 UYN655383 VIJ655383 VSF655383 WCB655383 WLX655383 WVT655383 V917527 JH720919 TD720919 ACZ720919 AMV720919 AWR720919 BGN720919 BQJ720919 CAF720919 CKB720919 CTX720919 DDT720919 DNP720919 DXL720919 EHH720919 ERD720919 FAZ720919 FKV720919 FUR720919 GEN720919 GOJ720919 GYF720919 HIB720919 HRX720919 IBT720919 ILP720919 IVL720919 JFH720919 JPD720919 JYZ720919 KIV720919 KSR720919 LCN720919 LMJ720919 LWF720919 MGB720919 MPX720919 MZT720919 NJP720919 NTL720919 ODH720919 OND720919 OWZ720919 PGV720919 PQR720919 QAN720919 QKJ720919 QUF720919 REB720919 RNX720919 RXT720919 SHP720919 SRL720919 TBH720919 TLD720919 TUZ720919 UEV720919 UOR720919 UYN720919 VIJ720919 VSF720919 WCB720919 WLX720919 WVT720919 V23 JH786455 TD786455 ACZ786455 AMV786455 AWR786455 BGN786455 BQJ786455 CAF786455 CKB786455 CTX786455 DDT786455 DNP786455 DXL786455 EHH786455 ERD786455 FAZ786455 FKV786455 FUR786455 GEN786455 GOJ786455 GYF786455 HIB786455 HRX786455 IBT786455 ILP786455 IVL786455 JFH786455 JPD786455 JYZ786455 KIV786455 KSR786455 LCN786455 LMJ786455 LWF786455 MGB786455 MPX786455 MZT786455 NJP786455 NTL786455 ODH786455 OND786455 OWZ786455 PGV786455 PQR786455 QAN786455 QKJ786455 QUF786455 REB786455 RNX786455 RXT786455 SHP786455 SRL786455 TBH786455 TLD786455 TUZ786455 UEV786455 UOR786455 UYN786455 VIJ786455 VSF786455 WCB786455 WLX786455 WVT786455 V983063 JH851991 TD851991 ACZ851991 AMV851991 AWR851991 BGN851991 BQJ851991 CAF851991 CKB851991 CTX851991 DDT851991 DNP851991 DXL851991 EHH851991 ERD851991 FAZ851991 FKV851991 FUR851991 GEN851991 GOJ851991 GYF851991 HIB851991 HRX851991 IBT851991 ILP851991 IVL851991 JFH851991 JPD851991 JYZ851991 KIV851991 KSR851991 LCN851991 LMJ851991 LWF851991 MGB851991 MPX851991 MZT851991 NJP851991 NTL851991 ODH851991 OND851991 OWZ851991 PGV851991 PQR851991 QAN851991 QKJ851991 QUF851991 REB851991 RNX851991 RXT851991 SHP851991 SRL851991 TBH851991 TLD851991 TUZ851991 UEV851991 UOR851991 UYN851991 VIJ851991 VSF851991 WCB851991 WLX851991 WVT851991 JH917527 TD917527 ACZ917527 AMV917527 AWR917527 BGN917527 BQJ917527 CAF917527 CKB917527 CTX917527 DDT917527 DNP917527 DXL917527 EHH917527 ERD917527 FAZ917527 FKV917527 FUR917527 GEN917527 GOJ917527 GYF917527 HIB917527 HRX917527 IBT917527 ILP917527 IVL917527 JFH917527 JPD917527 JYZ917527 KIV917527 KSR917527 LCN917527 LMJ917527 LWF917527 MGB917527 MPX917527 MZT917527 NJP917527 NTL917527 ODH917527 OND917527 OWZ917527 PGV917527 PQR917527 QAN917527 QKJ917527 QUF917527 REB917527 RNX917527 RXT917527 SHP917527 SRL917527 TBH917527 TLD917527 TUZ917527 UEV917527 UOR917527 UYN917527 VIJ917527 VSF917527 WCB917527 WLX917527 WVT917527 WVT983063 JH983063 TD983063 ACZ983063 AMV983063 AWR983063 BGN983063 BQJ983063 CAF983063 CKB983063 CTX983063 DDT983063 DNP983063 DXL983063 EHH983063 ERD983063 FAZ983063 FKV983063 FUR983063 GEN983063 GOJ983063 GYF983063 HIB983063 HRX983063 IBT983063 ILP983063 IVL983063 JFH983063 JPD983063 JYZ983063 KIV983063 KSR983063 LCN983063 LMJ983063 LWF983063 MGB983063 MPX983063 MZT983063 NJP983063 NTL983063 ODH983063 OND983063 OWZ983063 PGV983063 PQR983063 QAN983063 QKJ983063 QUF983063 REB983063 RNX983063 RXT983063 SHP983063 SRL983063 TBH983063 TLD983063 TUZ983063 UEV983063 UOR983063 UYN983063 VIJ983063 VSF983063 WCB983063 WLX983063 TB23 V65559"/>
    <dataValidation allowBlank="1" promptTitle="checkPeriodRange" sqref="R24 JD24 SZ24 ACV24 AMR24 AWN24 BGJ24 BQF24 CAB24 CJX24 CTT24 DDP24 DNL24 DXH24 EHD24 EQZ24 FAV24 FKR24 FUN24 GEJ24 GOF24 GYB24 HHX24 HRT24 IBP24 ILL24 IVH24 JFD24 JOZ24 JYV24 KIR24 KSN24 LCJ24 LMF24 LWB24 MFX24 MPT24 MZP24 NJL24 NTH24 ODD24 OMZ24 OWV24 PGR24 PQN24 QAJ24 QKF24 QUB24 RDX24 RNT24 RXP24 SHL24 SRH24 TBD24 TKZ24 TUV24 UER24 UON24 UYJ24 VIF24 VSB24 WBX24 WLT24 WVP24 R65560 JD65560 SZ65560 ACV65560 AMR65560 AWN65560 BGJ65560 BQF65560 CAB65560 CJX65560 CTT65560 DDP65560 DNL65560 DXH65560 EHD65560 EQZ65560 FAV65560 FKR65560 FUN65560 GEJ65560 GOF65560 GYB65560 HHX65560 HRT65560 IBP65560 ILL65560 IVH65560 JFD65560 JOZ65560 JYV65560 KIR65560 KSN65560 LCJ65560 LMF65560 LWB65560 MFX65560 MPT65560 MZP65560 NJL65560 NTH65560 ODD65560 OMZ65560 OWV65560 PGR65560 PQN65560 QAJ65560 QKF65560 QUB65560 RDX65560 RNT65560 RXP65560 SHL65560 SRH65560 TBD65560 TKZ65560 TUV65560 UER65560 UON65560 UYJ65560 VIF65560 VSB65560 WBX65560 WLT65560 WVP65560 R131096 JD131096 SZ131096 ACV131096 AMR131096 AWN131096 BGJ131096 BQF131096 CAB131096 CJX131096 CTT131096 DDP131096 DNL131096 DXH131096 EHD131096 EQZ131096 FAV131096 FKR131096 FUN131096 GEJ131096 GOF131096 GYB131096 HHX131096 HRT131096 IBP131096 ILL131096 IVH131096 JFD131096 JOZ131096 JYV131096 KIR131096 KSN131096 LCJ131096 LMF131096 LWB131096 MFX131096 MPT131096 MZP131096 NJL131096 NTH131096 ODD131096 OMZ131096 OWV131096 PGR131096 PQN131096 QAJ131096 QKF131096 QUB131096 RDX131096 RNT131096 RXP131096 SHL131096 SRH131096 TBD131096 TKZ131096 TUV131096 UER131096 UON131096 UYJ131096 VIF131096 VSB131096 WBX131096 WLT131096 WVP131096 R196632 JD196632 SZ196632 ACV196632 AMR196632 AWN196632 BGJ196632 BQF196632 CAB196632 CJX196632 CTT196632 DDP196632 DNL196632 DXH196632 EHD196632 EQZ196632 FAV196632 FKR196632 FUN196632 GEJ196632 GOF196632 GYB196632 HHX196632 HRT196632 IBP196632 ILL196632 IVH196632 JFD196632 JOZ196632 JYV196632 KIR196632 KSN196632 LCJ196632 LMF196632 LWB196632 MFX196632 MPT196632 MZP196632 NJL196632 NTH196632 ODD196632 OMZ196632 OWV196632 PGR196632 PQN196632 QAJ196632 QKF196632 QUB196632 RDX196632 RNT196632 RXP196632 SHL196632 SRH196632 TBD196632 TKZ196632 TUV196632 UER196632 UON196632 UYJ196632 VIF196632 VSB196632 WBX196632 WLT196632 WVP196632 R262168 JD262168 SZ262168 ACV262168 AMR262168 AWN262168 BGJ262168 BQF262168 CAB262168 CJX262168 CTT262168 DDP262168 DNL262168 DXH262168 EHD262168 EQZ262168 FAV262168 FKR262168 FUN262168 GEJ262168 GOF262168 GYB262168 HHX262168 HRT262168 IBP262168 ILL262168 IVH262168 JFD262168 JOZ262168 JYV262168 KIR262168 KSN262168 LCJ262168 LMF262168 LWB262168 MFX262168 MPT262168 MZP262168 NJL262168 NTH262168 ODD262168 OMZ262168 OWV262168 PGR262168 PQN262168 QAJ262168 QKF262168 QUB262168 RDX262168 RNT262168 RXP262168 SHL262168 SRH262168 TBD262168 TKZ262168 TUV262168 UER262168 UON262168 UYJ262168 VIF262168 VSB262168 WBX262168 WLT262168 WVP262168 R327704 JD327704 SZ327704 ACV327704 AMR327704 AWN327704 BGJ327704 BQF327704 CAB327704 CJX327704 CTT327704 DDP327704 DNL327704 DXH327704 EHD327704 EQZ327704 FAV327704 FKR327704 FUN327704 GEJ327704 GOF327704 GYB327704 HHX327704 HRT327704 IBP327704 ILL327704 IVH327704 JFD327704 JOZ327704 JYV327704 KIR327704 KSN327704 LCJ327704 LMF327704 LWB327704 MFX327704 MPT327704 MZP327704 NJL327704 NTH327704 ODD327704 OMZ327704 OWV327704 PGR327704 PQN327704 QAJ327704 QKF327704 QUB327704 RDX327704 RNT327704 RXP327704 SHL327704 SRH327704 TBD327704 TKZ327704 TUV327704 UER327704 UON327704 UYJ327704 VIF327704 VSB327704 WBX327704 WLT327704 WVP327704 R393240 JD393240 SZ393240 ACV393240 AMR393240 AWN393240 BGJ393240 BQF393240 CAB393240 CJX393240 CTT393240 DDP393240 DNL393240 DXH393240 EHD393240 EQZ393240 FAV393240 FKR393240 FUN393240 GEJ393240 GOF393240 GYB393240 HHX393240 HRT393240 IBP393240 ILL393240 IVH393240 JFD393240 JOZ393240 JYV393240 KIR393240 KSN393240 LCJ393240 LMF393240 LWB393240 MFX393240 MPT393240 MZP393240 NJL393240 NTH393240 ODD393240 OMZ393240 OWV393240 PGR393240 PQN393240 QAJ393240 QKF393240 QUB393240 RDX393240 RNT393240 RXP393240 SHL393240 SRH393240 TBD393240 TKZ393240 TUV393240 UER393240 UON393240 UYJ393240 VIF393240 VSB393240 WBX393240 WLT393240 WVP393240 R458776 JD458776 SZ458776 ACV458776 AMR458776 AWN458776 BGJ458776 BQF458776 CAB458776 CJX458776 CTT458776 DDP458776 DNL458776 DXH458776 EHD458776 EQZ458776 FAV458776 FKR458776 FUN458776 GEJ458776 GOF458776 GYB458776 HHX458776 HRT458776 IBP458776 ILL458776 IVH458776 JFD458776 JOZ458776 JYV458776 KIR458776 KSN458776 LCJ458776 LMF458776 LWB458776 MFX458776 MPT458776 MZP458776 NJL458776 NTH458776 ODD458776 OMZ458776 OWV458776 PGR458776 PQN458776 QAJ458776 QKF458776 QUB458776 RDX458776 RNT458776 RXP458776 SHL458776 SRH458776 TBD458776 TKZ458776 TUV458776 UER458776 UON458776 UYJ458776 VIF458776 VSB458776 WBX458776 WLT458776 WVP458776 R524312 JD524312 SZ524312 ACV524312 AMR524312 AWN524312 BGJ524312 BQF524312 CAB524312 CJX524312 CTT524312 DDP524312 DNL524312 DXH524312 EHD524312 EQZ524312 FAV524312 FKR524312 FUN524312 GEJ524312 GOF524312 GYB524312 HHX524312 HRT524312 IBP524312 ILL524312 IVH524312 JFD524312 JOZ524312 JYV524312 KIR524312 KSN524312 LCJ524312 LMF524312 LWB524312 MFX524312 MPT524312 MZP524312 NJL524312 NTH524312 ODD524312 OMZ524312 OWV524312 PGR524312 PQN524312 QAJ524312 QKF524312 QUB524312 RDX524312 RNT524312 RXP524312 SHL524312 SRH524312 TBD524312 TKZ524312 TUV524312 UER524312 UON524312 UYJ524312 VIF524312 VSB524312 WBX524312 WLT524312 WVP524312 R589848 JD589848 SZ589848 ACV589848 AMR589848 AWN589848 BGJ589848 BQF589848 CAB589848 CJX589848 CTT589848 DDP589848 DNL589848 DXH589848 EHD589848 EQZ589848 FAV589848 FKR589848 FUN589848 GEJ589848 GOF589848 GYB589848 HHX589848 HRT589848 IBP589848 ILL589848 IVH589848 JFD589848 JOZ589848 JYV589848 KIR589848 KSN589848 LCJ589848 LMF589848 LWB589848 MFX589848 MPT589848 MZP589848 NJL589848 NTH589848 ODD589848 OMZ589848 OWV589848 PGR589848 PQN589848 QAJ589848 QKF589848 QUB589848 RDX589848 RNT589848 RXP589848 SHL589848 SRH589848 TBD589848 TKZ589848 TUV589848 UER589848 UON589848 UYJ589848 VIF589848 VSB589848 WBX589848 WLT589848 WVP589848 R655384 JD655384 SZ655384 ACV655384 AMR655384 AWN655384 BGJ655384 BQF655384 CAB655384 CJX655384 CTT655384 DDP655384 DNL655384 DXH655384 EHD655384 EQZ655384 FAV655384 FKR655384 FUN655384 GEJ655384 GOF655384 GYB655384 HHX655384 HRT655384 IBP655384 ILL655384 IVH655384 JFD655384 JOZ655384 JYV655384 KIR655384 KSN655384 LCJ655384 LMF655384 LWB655384 MFX655384 MPT655384 MZP655384 NJL655384 NTH655384 ODD655384 OMZ655384 OWV655384 PGR655384 PQN655384 QAJ655384 QKF655384 QUB655384 RDX655384 RNT655384 RXP655384 SHL655384 SRH655384 TBD655384 TKZ655384 TUV655384 UER655384 UON655384 UYJ655384 VIF655384 VSB655384 WBX655384 WLT655384 WVP655384 R720920 JD720920 SZ720920 ACV720920 AMR720920 AWN720920 BGJ720920 BQF720920 CAB720920 CJX720920 CTT720920 DDP720920 DNL720920 DXH720920 EHD720920 EQZ720920 FAV720920 FKR720920 FUN720920 GEJ720920 GOF720920 GYB720920 HHX720920 HRT720920 IBP720920 ILL720920 IVH720920 JFD720920 JOZ720920 JYV720920 KIR720920 KSN720920 LCJ720920 LMF720920 LWB720920 MFX720920 MPT720920 MZP720920 NJL720920 NTH720920 ODD720920 OMZ720920 OWV720920 PGR720920 PQN720920 QAJ720920 QKF720920 QUB720920 RDX720920 RNT720920 RXP720920 SHL720920 SRH720920 TBD720920 TKZ720920 TUV720920 UER720920 UON720920 UYJ720920 VIF720920 VSB720920 WBX720920 WLT720920 WVP720920 R786456 JD786456 SZ786456 ACV786456 AMR786456 AWN786456 BGJ786456 BQF786456 CAB786456 CJX786456 CTT786456 DDP786456 DNL786456 DXH786456 EHD786456 EQZ786456 FAV786456 FKR786456 FUN786456 GEJ786456 GOF786456 GYB786456 HHX786456 HRT786456 IBP786456 ILL786456 IVH786456 JFD786456 JOZ786456 JYV786456 KIR786456 KSN786456 LCJ786456 LMF786456 LWB786456 MFX786456 MPT786456 MZP786456 NJL786456 NTH786456 ODD786456 OMZ786456 OWV786456 PGR786456 PQN786456 QAJ786456 QKF786456 QUB786456 RDX786456 RNT786456 RXP786456 SHL786456 SRH786456 TBD786456 TKZ786456 TUV786456 UER786456 UON786456 UYJ786456 VIF786456 VSB786456 WBX786456 WLT786456 WVP786456 R851992 JD851992 SZ851992 ACV851992 AMR851992 AWN851992 BGJ851992 BQF851992 CAB851992 CJX851992 CTT851992 DDP851992 DNL851992 DXH851992 EHD851992 EQZ851992 FAV851992 FKR851992 FUN851992 GEJ851992 GOF851992 GYB851992 HHX851992 HRT851992 IBP851992 ILL851992 IVH851992 JFD851992 JOZ851992 JYV851992 KIR851992 KSN851992 LCJ851992 LMF851992 LWB851992 MFX851992 MPT851992 MZP851992 NJL851992 NTH851992 ODD851992 OMZ851992 OWV851992 PGR851992 PQN851992 QAJ851992 QKF851992 QUB851992 RDX851992 RNT851992 RXP851992 SHL851992 SRH851992 TBD851992 TKZ851992 TUV851992 UER851992 UON851992 UYJ851992 VIF851992 VSB851992 WBX851992 WLT851992 WVP851992 R917528 JD917528 SZ917528 ACV917528 AMR917528 AWN917528 BGJ917528 BQF917528 CAB917528 CJX917528 CTT917528 DDP917528 DNL917528 DXH917528 EHD917528 EQZ917528 FAV917528 FKR917528 FUN917528 GEJ917528 GOF917528 GYB917528 HHX917528 HRT917528 IBP917528 ILL917528 IVH917528 JFD917528 JOZ917528 JYV917528 KIR917528 KSN917528 LCJ917528 LMF917528 LWB917528 MFX917528 MPT917528 MZP917528 NJL917528 NTH917528 ODD917528 OMZ917528 OWV917528 PGR917528 PQN917528 QAJ917528 QKF917528 QUB917528 RDX917528 RNT917528 RXP917528 SHL917528 SRH917528 TBD917528 TKZ917528 TUV917528 UER917528 UON917528 UYJ917528 VIF917528 VSB917528 WBX917528 WLT917528 WVP917528 R983064 JD983064 SZ983064 ACV983064 AMR983064 AWN983064 BGJ983064 BQF983064 CAB983064 CJX983064 CTT983064 DDP983064 DNL983064 DXH983064 EHD983064 EQZ983064 FAV983064 FKR983064 FUN983064 GEJ983064 GOF983064 GYB983064 HHX983064 HRT983064 IBP983064 ILL983064 IVH983064 JFD983064 JOZ983064 JYV983064 KIR983064 KSN983064 LCJ983064 LMF983064 LWB983064 MFX983064 MPT983064 MZP983064 NJL983064 NTH983064 ODD983064 OMZ983064 OWV983064 PGR983064 PQN983064 QAJ983064 QKF983064 QUB983064 RDX983064 RNT983064 RXP983064 SHL983064 SRH983064 TBD983064 TKZ983064 TUV983064 UER983064 UON983064 UYJ983064 VIF983064 VSB983064 WBX983064 WLT983064 WVP983064"/>
    <dataValidation type="textLength" operator="lessThanOrEqual" allowBlank="1" showInputMessage="1" showErrorMessage="1" errorTitle="Ошибка" error="Допускается ввод не более 900 символов!" sqref="ACS23 AMO23 AWK23 BGG23 BQC23 BZY23 CJU23 CTQ23 DDM23 DNI23 DXE23 EHA23 EQW23 FAS23 FKO23 FUK23 GEG23 GOC23 GXY23 HHU23 HRQ23 IBM23 ILI23 IVE23 JFA23 JOW23 JYS23 KIO23 KSK23 LCG23 LMC23 LVY23 MFU23 MPQ23 MZM23 NJI23 NTE23 ODA23 OMW23 OWS23 PGO23 PQK23 QAG23 QKC23 QTY23 RDU23 RNQ23 RXM23 SHI23 SRE23 TBA23 TKW23 TUS23 UEO23 UOK23 UYG23 VIC23 VRY23 WBU23 WLQ23 WVM23 O23 O65559 JA65559 SW65559 ACS65559 AMO65559 AWK65559 BGG65559 BQC65559 BZY65559 CJU65559 CTQ65559 DDM65559 DNI65559 DXE65559 EHA65559 EQW65559 FAS65559 FKO65559 FUK65559 GEG65559 GOC65559 GXY65559 HHU65559 HRQ65559 IBM65559 ILI65559 IVE65559 JFA65559 JOW65559 JYS65559 KIO65559 KSK65559 LCG65559 LMC65559 LVY65559 MFU65559 MPQ65559 MZM65559 NJI65559 NTE65559 ODA65559 OMW65559 OWS65559 PGO65559 PQK65559 QAG65559 QKC65559 QTY65559 RDU65559 RNQ65559 RXM65559 SHI65559 SRE65559 TBA65559 TKW65559 TUS65559 UEO65559 UOK65559 UYG65559 VIC65559 VRY65559 WBU65559 WLQ65559 WVM65559 O131095 JA131095 SW131095 ACS131095 AMO131095 AWK131095 BGG131095 BQC131095 BZY131095 CJU131095 CTQ131095 DDM131095 DNI131095 DXE131095 EHA131095 EQW131095 FAS131095 FKO131095 FUK131095 GEG131095 GOC131095 GXY131095 HHU131095 HRQ131095 IBM131095 ILI131095 IVE131095 JFA131095 JOW131095 JYS131095 KIO131095 KSK131095 LCG131095 LMC131095 LVY131095 MFU131095 MPQ131095 MZM131095 NJI131095 NTE131095 ODA131095 OMW131095 OWS131095 PGO131095 PQK131095 QAG131095 QKC131095 QTY131095 RDU131095 RNQ131095 RXM131095 SHI131095 SRE131095 TBA131095 TKW131095 TUS131095 UEO131095 UOK131095 UYG131095 VIC131095 VRY131095 WBU131095 WLQ131095 WVM131095 O196631 JA196631 SW196631 ACS196631 AMO196631 AWK196631 BGG196631 BQC196631 BZY196631 CJU196631 CTQ196631 DDM196631 DNI196631 DXE196631 EHA196631 EQW196631 FAS196631 FKO196631 FUK196631 GEG196631 GOC196631 GXY196631 HHU196631 HRQ196631 IBM196631 ILI196631 IVE196631 JFA196631 JOW196631 JYS196631 KIO196631 KSK196631 LCG196631 LMC196631 LVY196631 MFU196631 MPQ196631 MZM196631 NJI196631 NTE196631 ODA196631 OMW196631 OWS196631 PGO196631 PQK196631 QAG196631 QKC196631 QTY196631 RDU196631 RNQ196631 RXM196631 SHI196631 SRE196631 TBA196631 TKW196631 TUS196631 UEO196631 UOK196631 UYG196631 VIC196631 VRY196631 WBU196631 WLQ196631 WVM196631 O262167 JA262167 SW262167 ACS262167 AMO262167 AWK262167 BGG262167 BQC262167 BZY262167 CJU262167 CTQ262167 DDM262167 DNI262167 DXE262167 EHA262167 EQW262167 FAS262167 FKO262167 FUK262167 GEG262167 GOC262167 GXY262167 HHU262167 HRQ262167 IBM262167 ILI262167 IVE262167 JFA262167 JOW262167 JYS262167 KIO262167 KSK262167 LCG262167 LMC262167 LVY262167 MFU262167 MPQ262167 MZM262167 NJI262167 NTE262167 ODA262167 OMW262167 OWS262167 PGO262167 PQK262167 QAG262167 QKC262167 QTY262167 RDU262167 RNQ262167 RXM262167 SHI262167 SRE262167 TBA262167 TKW262167 TUS262167 UEO262167 UOK262167 UYG262167 VIC262167 VRY262167 WBU262167 WLQ262167 WVM262167 O327703 JA327703 SW327703 ACS327703 AMO327703 AWK327703 BGG327703 BQC327703 BZY327703 CJU327703 CTQ327703 DDM327703 DNI327703 DXE327703 EHA327703 EQW327703 FAS327703 FKO327703 FUK327703 GEG327703 GOC327703 GXY327703 HHU327703 HRQ327703 IBM327703 ILI327703 IVE327703 JFA327703 JOW327703 JYS327703 KIO327703 KSK327703 LCG327703 LMC327703 LVY327703 MFU327703 MPQ327703 MZM327703 NJI327703 NTE327703 ODA327703 OMW327703 OWS327703 PGO327703 PQK327703 QAG327703 QKC327703 QTY327703 RDU327703 RNQ327703 RXM327703 SHI327703 SRE327703 TBA327703 TKW327703 TUS327703 UEO327703 UOK327703 UYG327703 VIC327703 VRY327703 WBU327703 WLQ327703 WVM327703 O393239 JA393239 SW393239 ACS393239 AMO393239 AWK393239 BGG393239 BQC393239 BZY393239 CJU393239 CTQ393239 DDM393239 DNI393239 DXE393239 EHA393239 EQW393239 FAS393239 FKO393239 FUK393239 GEG393239 GOC393239 GXY393239 HHU393239 HRQ393239 IBM393239 ILI393239 IVE393239 JFA393239 JOW393239 JYS393239 KIO393239 KSK393239 LCG393239 LMC393239 LVY393239 MFU393239 MPQ393239 MZM393239 NJI393239 NTE393239 ODA393239 OMW393239 OWS393239 PGO393239 PQK393239 QAG393239 QKC393239 QTY393239 RDU393239 RNQ393239 RXM393239 SHI393239 SRE393239 TBA393239 TKW393239 TUS393239 UEO393239 UOK393239 UYG393239 VIC393239 VRY393239 WBU393239 WLQ393239 WVM393239 O458775 JA458775 SW458775 ACS458775 AMO458775 AWK458775 BGG458775 BQC458775 BZY458775 CJU458775 CTQ458775 DDM458775 DNI458775 DXE458775 EHA458775 EQW458775 FAS458775 FKO458775 FUK458775 GEG458775 GOC458775 GXY458775 HHU458775 HRQ458775 IBM458775 ILI458775 IVE458775 JFA458775 JOW458775 JYS458775 KIO458775 KSK458775 LCG458775 LMC458775 LVY458775 MFU458775 MPQ458775 MZM458775 NJI458775 NTE458775 ODA458775 OMW458775 OWS458775 PGO458775 PQK458775 QAG458775 QKC458775 QTY458775 RDU458775 RNQ458775 RXM458775 SHI458775 SRE458775 TBA458775 TKW458775 TUS458775 UEO458775 UOK458775 UYG458775 VIC458775 VRY458775 WBU458775 WLQ458775 WVM458775 O524311 JA524311 SW524311 ACS524311 AMO524311 AWK524311 BGG524311 BQC524311 BZY524311 CJU524311 CTQ524311 DDM524311 DNI524311 DXE524311 EHA524311 EQW524311 FAS524311 FKO524311 FUK524311 GEG524311 GOC524311 GXY524311 HHU524311 HRQ524311 IBM524311 ILI524311 IVE524311 JFA524311 JOW524311 JYS524311 KIO524311 KSK524311 LCG524311 LMC524311 LVY524311 MFU524311 MPQ524311 MZM524311 NJI524311 NTE524311 ODA524311 OMW524311 OWS524311 PGO524311 PQK524311 QAG524311 QKC524311 QTY524311 RDU524311 RNQ524311 RXM524311 SHI524311 SRE524311 TBA524311 TKW524311 TUS524311 UEO524311 UOK524311 UYG524311 VIC524311 VRY524311 WBU524311 WLQ524311 WVM524311 O589847 JA589847 SW589847 ACS589847 AMO589847 AWK589847 BGG589847 BQC589847 BZY589847 CJU589847 CTQ589847 DDM589847 DNI589847 DXE589847 EHA589847 EQW589847 FAS589847 FKO589847 FUK589847 GEG589847 GOC589847 GXY589847 HHU589847 HRQ589847 IBM589847 ILI589847 IVE589847 JFA589847 JOW589847 JYS589847 KIO589847 KSK589847 LCG589847 LMC589847 LVY589847 MFU589847 MPQ589847 MZM589847 NJI589847 NTE589847 ODA589847 OMW589847 OWS589847 PGO589847 PQK589847 QAG589847 QKC589847 QTY589847 RDU589847 RNQ589847 RXM589847 SHI589847 SRE589847 TBA589847 TKW589847 TUS589847 UEO589847 UOK589847 UYG589847 VIC589847 VRY589847 WBU589847 WLQ589847 WVM589847 O655383 JA655383 SW655383 ACS655383 AMO655383 AWK655383 BGG655383 BQC655383 BZY655383 CJU655383 CTQ655383 DDM655383 DNI655383 DXE655383 EHA655383 EQW655383 FAS655383 FKO655383 FUK655383 GEG655383 GOC655383 GXY655383 HHU655383 HRQ655383 IBM655383 ILI655383 IVE655383 JFA655383 JOW655383 JYS655383 KIO655383 KSK655383 LCG655383 LMC655383 LVY655383 MFU655383 MPQ655383 MZM655383 NJI655383 NTE655383 ODA655383 OMW655383 OWS655383 PGO655383 PQK655383 QAG655383 QKC655383 QTY655383 RDU655383 RNQ655383 RXM655383 SHI655383 SRE655383 TBA655383 TKW655383 TUS655383 UEO655383 UOK655383 UYG655383 VIC655383 VRY655383 WBU655383 WLQ655383 WVM655383 O720919 JA720919 SW720919 ACS720919 AMO720919 AWK720919 BGG720919 BQC720919 BZY720919 CJU720919 CTQ720919 DDM720919 DNI720919 DXE720919 EHA720919 EQW720919 FAS720919 FKO720919 FUK720919 GEG720919 GOC720919 GXY720919 HHU720919 HRQ720919 IBM720919 ILI720919 IVE720919 JFA720919 JOW720919 JYS720919 KIO720919 KSK720919 LCG720919 LMC720919 LVY720919 MFU720919 MPQ720919 MZM720919 NJI720919 NTE720919 ODA720919 OMW720919 OWS720919 PGO720919 PQK720919 QAG720919 QKC720919 QTY720919 RDU720919 RNQ720919 RXM720919 SHI720919 SRE720919 TBA720919 TKW720919 TUS720919 UEO720919 UOK720919 UYG720919 VIC720919 VRY720919 WBU720919 WLQ720919 WVM720919 O786455 JA786455 SW786455 ACS786455 AMO786455 AWK786455 BGG786455 BQC786455 BZY786455 CJU786455 CTQ786455 DDM786455 DNI786455 DXE786455 EHA786455 EQW786455 FAS786455 FKO786455 FUK786455 GEG786455 GOC786455 GXY786455 HHU786455 HRQ786455 IBM786455 ILI786455 IVE786455 JFA786455 JOW786455 JYS786455 KIO786455 KSK786455 LCG786455 LMC786455 LVY786455 MFU786455 MPQ786455 MZM786455 NJI786455 NTE786455 ODA786455 OMW786455 OWS786455 PGO786455 PQK786455 QAG786455 QKC786455 QTY786455 RDU786455 RNQ786455 RXM786455 SHI786455 SRE786455 TBA786455 TKW786455 TUS786455 UEO786455 UOK786455 UYG786455 VIC786455 VRY786455 WBU786455 WLQ786455 WVM786455 O851991 JA851991 SW851991 ACS851991 AMO851991 AWK851991 BGG851991 BQC851991 BZY851991 CJU851991 CTQ851991 DDM851991 DNI851991 DXE851991 EHA851991 EQW851991 FAS851991 FKO851991 FUK851991 GEG851991 GOC851991 GXY851991 HHU851991 HRQ851991 IBM851991 ILI851991 IVE851991 JFA851991 JOW851991 JYS851991 KIO851991 KSK851991 LCG851991 LMC851991 LVY851991 MFU851991 MPQ851991 MZM851991 NJI851991 NTE851991 ODA851991 OMW851991 OWS851991 PGO851991 PQK851991 QAG851991 QKC851991 QTY851991 RDU851991 RNQ851991 RXM851991 SHI851991 SRE851991 TBA851991 TKW851991 TUS851991 UEO851991 UOK851991 UYG851991 VIC851991 VRY851991 WBU851991 WLQ851991 WVM851991 O917527 JA917527 SW917527 ACS917527 AMO917527 AWK917527 BGG917527 BQC917527 BZY917527 CJU917527 CTQ917527 DDM917527 DNI917527 DXE917527 EHA917527 EQW917527 FAS917527 FKO917527 FUK917527 GEG917527 GOC917527 GXY917527 HHU917527 HRQ917527 IBM917527 ILI917527 IVE917527 JFA917527 JOW917527 JYS917527 KIO917527 KSK917527 LCG917527 LMC917527 LVY917527 MFU917527 MPQ917527 MZM917527 NJI917527 NTE917527 ODA917527 OMW917527 OWS917527 PGO917527 PQK917527 QAG917527 QKC917527 QTY917527 RDU917527 RNQ917527 RXM917527 SHI917527 SRE917527 TBA917527 TKW917527 TUS917527 UEO917527 UOK917527 UYG917527 VIC917527 VRY917527 WBU917527 WLQ917527 WVM917527 O983063 JA983063 SW983063 ACS983063 AMO983063 AWK983063 BGG983063 BQC983063 BZY983063 CJU983063 CTQ983063 DDM983063 DNI983063 DXE983063 EHA983063 EQW983063 FAS983063 FKO983063 FUK983063 GEG983063 GOC983063 GXY983063 HHU983063 HRQ983063 IBM983063 ILI983063 IVE983063 JFA983063 JOW983063 JYS983063 KIO983063 KSK983063 LCG983063 LMC983063 LVY983063 MFU983063 MPQ983063 MZM983063 NJI983063 NTE983063 ODA983063 OMW983063 OWS983063 PGO983063 PQK983063 QAG983063 QKC983063 QTY983063 RDU983063 RNQ983063 RXM983063 SHI983063 SRE983063 TBA983063 TKW983063 TUS983063 UEO983063 UOK983063 UYG983063 VIC983063 VRY983063 WBU983063 WLQ983063 WVM983063 WVV983059:WVV983064 JA23 X65555:X65560 JJ65555:JJ65560 TF65555:TF65560 ADB65555:ADB65560 AMX65555:AMX65560 AWT65555:AWT65560 BGP65555:BGP65560 BQL65555:BQL65560 CAH65555:CAH65560 CKD65555:CKD65560 CTZ65555:CTZ65560 DDV65555:DDV65560 DNR65555:DNR65560 DXN65555:DXN65560 EHJ65555:EHJ65560 ERF65555:ERF65560 FBB65555:FBB65560 FKX65555:FKX65560 FUT65555:FUT65560 GEP65555:GEP65560 GOL65555:GOL65560 GYH65555:GYH65560 HID65555:HID65560 HRZ65555:HRZ65560 IBV65555:IBV65560 ILR65555:ILR65560 IVN65555:IVN65560 JFJ65555:JFJ65560 JPF65555:JPF65560 JZB65555:JZB65560 KIX65555:KIX65560 KST65555:KST65560 LCP65555:LCP65560 LML65555:LML65560 LWH65555:LWH65560 MGD65555:MGD65560 MPZ65555:MPZ65560 MZV65555:MZV65560 NJR65555:NJR65560 NTN65555:NTN65560 ODJ65555:ODJ65560 ONF65555:ONF65560 OXB65555:OXB65560 PGX65555:PGX65560 PQT65555:PQT65560 QAP65555:QAP65560 QKL65555:QKL65560 QUH65555:QUH65560 RED65555:RED65560 RNZ65555:RNZ65560 RXV65555:RXV65560 SHR65555:SHR65560 SRN65555:SRN65560 TBJ65555:TBJ65560 TLF65555:TLF65560 TVB65555:TVB65560 UEX65555:UEX65560 UOT65555:UOT65560 UYP65555:UYP65560 VIL65555:VIL65560 VSH65555:VSH65560 WCD65555:WCD65560 WLZ65555:WLZ65560 WVV65555:WVV65560 X131091:X131096 JJ131091:JJ131096 TF131091:TF131096 ADB131091:ADB131096 AMX131091:AMX131096 AWT131091:AWT131096 BGP131091:BGP131096 BQL131091:BQL131096 CAH131091:CAH131096 CKD131091:CKD131096 CTZ131091:CTZ131096 DDV131091:DDV131096 DNR131091:DNR131096 DXN131091:DXN131096 EHJ131091:EHJ131096 ERF131091:ERF131096 FBB131091:FBB131096 FKX131091:FKX131096 FUT131091:FUT131096 GEP131091:GEP131096 GOL131091:GOL131096 GYH131091:GYH131096 HID131091:HID131096 HRZ131091:HRZ131096 IBV131091:IBV131096 ILR131091:ILR131096 IVN131091:IVN131096 JFJ131091:JFJ131096 JPF131091:JPF131096 JZB131091:JZB131096 KIX131091:KIX131096 KST131091:KST131096 LCP131091:LCP131096 LML131091:LML131096 LWH131091:LWH131096 MGD131091:MGD131096 MPZ131091:MPZ131096 MZV131091:MZV131096 NJR131091:NJR131096 NTN131091:NTN131096 ODJ131091:ODJ131096 ONF131091:ONF131096 OXB131091:OXB131096 PGX131091:PGX131096 PQT131091:PQT131096 QAP131091:QAP131096 QKL131091:QKL131096 QUH131091:QUH131096 RED131091:RED131096 RNZ131091:RNZ131096 RXV131091:RXV131096 SHR131091:SHR131096 SRN131091:SRN131096 TBJ131091:TBJ131096 TLF131091:TLF131096 TVB131091:TVB131096 UEX131091:UEX131096 UOT131091:UOT131096 UYP131091:UYP131096 VIL131091:VIL131096 VSH131091:VSH131096 WCD131091:WCD131096 WLZ131091:WLZ131096 WVV131091:WVV131096 X196627:X196632 JJ196627:JJ196632 TF196627:TF196632 ADB196627:ADB196632 AMX196627:AMX196632 AWT196627:AWT196632 BGP196627:BGP196632 BQL196627:BQL196632 CAH196627:CAH196632 CKD196627:CKD196632 CTZ196627:CTZ196632 DDV196627:DDV196632 DNR196627:DNR196632 DXN196627:DXN196632 EHJ196627:EHJ196632 ERF196627:ERF196632 FBB196627:FBB196632 FKX196627:FKX196632 FUT196627:FUT196632 GEP196627:GEP196632 GOL196627:GOL196632 GYH196627:GYH196632 HID196627:HID196632 HRZ196627:HRZ196632 IBV196627:IBV196632 ILR196627:ILR196632 IVN196627:IVN196632 JFJ196627:JFJ196632 JPF196627:JPF196632 JZB196627:JZB196632 KIX196627:KIX196632 KST196627:KST196632 LCP196627:LCP196632 LML196627:LML196632 LWH196627:LWH196632 MGD196627:MGD196632 MPZ196627:MPZ196632 MZV196627:MZV196632 NJR196627:NJR196632 NTN196627:NTN196632 ODJ196627:ODJ196632 ONF196627:ONF196632 OXB196627:OXB196632 PGX196627:PGX196632 PQT196627:PQT196632 QAP196627:QAP196632 QKL196627:QKL196632 QUH196627:QUH196632 RED196627:RED196632 RNZ196627:RNZ196632 RXV196627:RXV196632 SHR196627:SHR196632 SRN196627:SRN196632 TBJ196627:TBJ196632 TLF196627:TLF196632 TVB196627:TVB196632 UEX196627:UEX196632 UOT196627:UOT196632 UYP196627:UYP196632 VIL196627:VIL196632 VSH196627:VSH196632 WCD196627:WCD196632 WLZ196627:WLZ196632 WVV196627:WVV196632 X262163:X262168 JJ262163:JJ262168 TF262163:TF262168 ADB262163:ADB262168 AMX262163:AMX262168 AWT262163:AWT262168 BGP262163:BGP262168 BQL262163:BQL262168 CAH262163:CAH262168 CKD262163:CKD262168 CTZ262163:CTZ262168 DDV262163:DDV262168 DNR262163:DNR262168 DXN262163:DXN262168 EHJ262163:EHJ262168 ERF262163:ERF262168 FBB262163:FBB262168 FKX262163:FKX262168 FUT262163:FUT262168 GEP262163:GEP262168 GOL262163:GOL262168 GYH262163:GYH262168 HID262163:HID262168 HRZ262163:HRZ262168 IBV262163:IBV262168 ILR262163:ILR262168 IVN262163:IVN262168 JFJ262163:JFJ262168 JPF262163:JPF262168 JZB262163:JZB262168 KIX262163:KIX262168 KST262163:KST262168 LCP262163:LCP262168 LML262163:LML262168 LWH262163:LWH262168 MGD262163:MGD262168 MPZ262163:MPZ262168 MZV262163:MZV262168 NJR262163:NJR262168 NTN262163:NTN262168 ODJ262163:ODJ262168 ONF262163:ONF262168 OXB262163:OXB262168 PGX262163:PGX262168 PQT262163:PQT262168 QAP262163:QAP262168 QKL262163:QKL262168 QUH262163:QUH262168 RED262163:RED262168 RNZ262163:RNZ262168 RXV262163:RXV262168 SHR262163:SHR262168 SRN262163:SRN262168 TBJ262163:TBJ262168 TLF262163:TLF262168 TVB262163:TVB262168 UEX262163:UEX262168 UOT262163:UOT262168 UYP262163:UYP262168 VIL262163:VIL262168 VSH262163:VSH262168 WCD262163:WCD262168 WLZ262163:WLZ262168 WVV262163:WVV262168 X327699:X327704 JJ327699:JJ327704 TF327699:TF327704 ADB327699:ADB327704 AMX327699:AMX327704 AWT327699:AWT327704 BGP327699:BGP327704 BQL327699:BQL327704 CAH327699:CAH327704 CKD327699:CKD327704 CTZ327699:CTZ327704 DDV327699:DDV327704 DNR327699:DNR327704 DXN327699:DXN327704 EHJ327699:EHJ327704 ERF327699:ERF327704 FBB327699:FBB327704 FKX327699:FKX327704 FUT327699:FUT327704 GEP327699:GEP327704 GOL327699:GOL327704 GYH327699:GYH327704 HID327699:HID327704 HRZ327699:HRZ327704 IBV327699:IBV327704 ILR327699:ILR327704 IVN327699:IVN327704 JFJ327699:JFJ327704 JPF327699:JPF327704 JZB327699:JZB327704 KIX327699:KIX327704 KST327699:KST327704 LCP327699:LCP327704 LML327699:LML327704 LWH327699:LWH327704 MGD327699:MGD327704 MPZ327699:MPZ327704 MZV327699:MZV327704 NJR327699:NJR327704 NTN327699:NTN327704 ODJ327699:ODJ327704 ONF327699:ONF327704 OXB327699:OXB327704 PGX327699:PGX327704 PQT327699:PQT327704 QAP327699:QAP327704 QKL327699:QKL327704 QUH327699:QUH327704 RED327699:RED327704 RNZ327699:RNZ327704 RXV327699:RXV327704 SHR327699:SHR327704 SRN327699:SRN327704 TBJ327699:TBJ327704 TLF327699:TLF327704 TVB327699:TVB327704 UEX327699:UEX327704 UOT327699:UOT327704 UYP327699:UYP327704 VIL327699:VIL327704 VSH327699:VSH327704 WCD327699:WCD327704 WLZ327699:WLZ327704 WVV327699:WVV327704 X393235:X393240 JJ393235:JJ393240 TF393235:TF393240 ADB393235:ADB393240 AMX393235:AMX393240 AWT393235:AWT393240 BGP393235:BGP393240 BQL393235:BQL393240 CAH393235:CAH393240 CKD393235:CKD393240 CTZ393235:CTZ393240 DDV393235:DDV393240 DNR393235:DNR393240 DXN393235:DXN393240 EHJ393235:EHJ393240 ERF393235:ERF393240 FBB393235:FBB393240 FKX393235:FKX393240 FUT393235:FUT393240 GEP393235:GEP393240 GOL393235:GOL393240 GYH393235:GYH393240 HID393235:HID393240 HRZ393235:HRZ393240 IBV393235:IBV393240 ILR393235:ILR393240 IVN393235:IVN393240 JFJ393235:JFJ393240 JPF393235:JPF393240 JZB393235:JZB393240 KIX393235:KIX393240 KST393235:KST393240 LCP393235:LCP393240 LML393235:LML393240 LWH393235:LWH393240 MGD393235:MGD393240 MPZ393235:MPZ393240 MZV393235:MZV393240 NJR393235:NJR393240 NTN393235:NTN393240 ODJ393235:ODJ393240 ONF393235:ONF393240 OXB393235:OXB393240 PGX393235:PGX393240 PQT393235:PQT393240 QAP393235:QAP393240 QKL393235:QKL393240 QUH393235:QUH393240 RED393235:RED393240 RNZ393235:RNZ393240 RXV393235:RXV393240 SHR393235:SHR393240 SRN393235:SRN393240 TBJ393235:TBJ393240 TLF393235:TLF393240 TVB393235:TVB393240 UEX393235:UEX393240 UOT393235:UOT393240 UYP393235:UYP393240 VIL393235:VIL393240 VSH393235:VSH393240 WCD393235:WCD393240 WLZ393235:WLZ393240 WVV393235:WVV393240 X458771:X458776 JJ458771:JJ458776 TF458771:TF458776 ADB458771:ADB458776 AMX458771:AMX458776 AWT458771:AWT458776 BGP458771:BGP458776 BQL458771:BQL458776 CAH458771:CAH458776 CKD458771:CKD458776 CTZ458771:CTZ458776 DDV458771:DDV458776 DNR458771:DNR458776 DXN458771:DXN458776 EHJ458771:EHJ458776 ERF458771:ERF458776 FBB458771:FBB458776 FKX458771:FKX458776 FUT458771:FUT458776 GEP458771:GEP458776 GOL458771:GOL458776 GYH458771:GYH458776 HID458771:HID458776 HRZ458771:HRZ458776 IBV458771:IBV458776 ILR458771:ILR458776 IVN458771:IVN458776 JFJ458771:JFJ458776 JPF458771:JPF458776 JZB458771:JZB458776 KIX458771:KIX458776 KST458771:KST458776 LCP458771:LCP458776 LML458771:LML458776 LWH458771:LWH458776 MGD458771:MGD458776 MPZ458771:MPZ458776 MZV458771:MZV458776 NJR458771:NJR458776 NTN458771:NTN458776 ODJ458771:ODJ458776 ONF458771:ONF458776 OXB458771:OXB458776 PGX458771:PGX458776 PQT458771:PQT458776 QAP458771:QAP458776 QKL458771:QKL458776 QUH458771:QUH458776 RED458771:RED458776 RNZ458771:RNZ458776 RXV458771:RXV458776 SHR458771:SHR458776 SRN458771:SRN458776 TBJ458771:TBJ458776 TLF458771:TLF458776 TVB458771:TVB458776 UEX458771:UEX458776 UOT458771:UOT458776 UYP458771:UYP458776 VIL458771:VIL458776 VSH458771:VSH458776 WCD458771:WCD458776 WLZ458771:WLZ458776 WVV458771:WVV458776 X524307:X524312 JJ524307:JJ524312 TF524307:TF524312 ADB524307:ADB524312 AMX524307:AMX524312 AWT524307:AWT524312 BGP524307:BGP524312 BQL524307:BQL524312 CAH524307:CAH524312 CKD524307:CKD524312 CTZ524307:CTZ524312 DDV524307:DDV524312 DNR524307:DNR524312 DXN524307:DXN524312 EHJ524307:EHJ524312 ERF524307:ERF524312 FBB524307:FBB524312 FKX524307:FKX524312 FUT524307:FUT524312 GEP524307:GEP524312 GOL524307:GOL524312 GYH524307:GYH524312 HID524307:HID524312 HRZ524307:HRZ524312 IBV524307:IBV524312 ILR524307:ILR524312 IVN524307:IVN524312 JFJ524307:JFJ524312 JPF524307:JPF524312 JZB524307:JZB524312 KIX524307:KIX524312 KST524307:KST524312 LCP524307:LCP524312 LML524307:LML524312 LWH524307:LWH524312 MGD524307:MGD524312 MPZ524307:MPZ524312 MZV524307:MZV524312 NJR524307:NJR524312 NTN524307:NTN524312 ODJ524307:ODJ524312 ONF524307:ONF524312 OXB524307:OXB524312 PGX524307:PGX524312 PQT524307:PQT524312 QAP524307:QAP524312 QKL524307:QKL524312 QUH524307:QUH524312 RED524307:RED524312 RNZ524307:RNZ524312 RXV524307:RXV524312 SHR524307:SHR524312 SRN524307:SRN524312 TBJ524307:TBJ524312 TLF524307:TLF524312 TVB524307:TVB524312 UEX524307:UEX524312 UOT524307:UOT524312 UYP524307:UYP524312 VIL524307:VIL524312 VSH524307:VSH524312 WCD524307:WCD524312 WLZ524307:WLZ524312 WVV524307:WVV524312 X589843:X589848 JJ589843:JJ589848 TF589843:TF589848 ADB589843:ADB589848 AMX589843:AMX589848 AWT589843:AWT589848 BGP589843:BGP589848 BQL589843:BQL589848 CAH589843:CAH589848 CKD589843:CKD589848 CTZ589843:CTZ589848 DDV589843:DDV589848 DNR589843:DNR589848 DXN589843:DXN589848 EHJ589843:EHJ589848 ERF589843:ERF589848 FBB589843:FBB589848 FKX589843:FKX589848 FUT589843:FUT589848 GEP589843:GEP589848 GOL589843:GOL589848 GYH589843:GYH589848 HID589843:HID589848 HRZ589843:HRZ589848 IBV589843:IBV589848 ILR589843:ILR589848 IVN589843:IVN589848 JFJ589843:JFJ589848 JPF589843:JPF589848 JZB589843:JZB589848 KIX589843:KIX589848 KST589843:KST589848 LCP589843:LCP589848 LML589843:LML589848 LWH589843:LWH589848 MGD589843:MGD589848 MPZ589843:MPZ589848 MZV589843:MZV589848 NJR589843:NJR589848 NTN589843:NTN589848 ODJ589843:ODJ589848 ONF589843:ONF589848 OXB589843:OXB589848 PGX589843:PGX589848 PQT589843:PQT589848 QAP589843:QAP589848 QKL589843:QKL589848 QUH589843:QUH589848 RED589843:RED589848 RNZ589843:RNZ589848 RXV589843:RXV589848 SHR589843:SHR589848 SRN589843:SRN589848 TBJ589843:TBJ589848 TLF589843:TLF589848 TVB589843:TVB589848 UEX589843:UEX589848 UOT589843:UOT589848 UYP589843:UYP589848 VIL589843:VIL589848 VSH589843:VSH589848 WCD589843:WCD589848 WLZ589843:WLZ589848 WVV589843:WVV589848 X655379:X655384 JJ655379:JJ655384 TF655379:TF655384 ADB655379:ADB655384 AMX655379:AMX655384 AWT655379:AWT655384 BGP655379:BGP655384 BQL655379:BQL655384 CAH655379:CAH655384 CKD655379:CKD655384 CTZ655379:CTZ655384 DDV655379:DDV655384 DNR655379:DNR655384 DXN655379:DXN655384 EHJ655379:EHJ655384 ERF655379:ERF655384 FBB655379:FBB655384 FKX655379:FKX655384 FUT655379:FUT655384 GEP655379:GEP655384 GOL655379:GOL655384 GYH655379:GYH655384 HID655379:HID655384 HRZ655379:HRZ655384 IBV655379:IBV655384 ILR655379:ILR655384 IVN655379:IVN655384 JFJ655379:JFJ655384 JPF655379:JPF655384 JZB655379:JZB655384 KIX655379:KIX655384 KST655379:KST655384 LCP655379:LCP655384 LML655379:LML655384 LWH655379:LWH655384 MGD655379:MGD655384 MPZ655379:MPZ655384 MZV655379:MZV655384 NJR655379:NJR655384 NTN655379:NTN655384 ODJ655379:ODJ655384 ONF655379:ONF655384 OXB655379:OXB655384 PGX655379:PGX655384 PQT655379:PQT655384 QAP655379:QAP655384 QKL655379:QKL655384 QUH655379:QUH655384 RED655379:RED655384 RNZ655379:RNZ655384 RXV655379:RXV655384 SHR655379:SHR655384 SRN655379:SRN655384 TBJ655379:TBJ655384 TLF655379:TLF655384 TVB655379:TVB655384 UEX655379:UEX655384 UOT655379:UOT655384 UYP655379:UYP655384 VIL655379:VIL655384 VSH655379:VSH655384 WCD655379:WCD655384 WLZ655379:WLZ655384 WVV655379:WVV655384 X720915:X720920 JJ720915:JJ720920 TF720915:TF720920 ADB720915:ADB720920 AMX720915:AMX720920 AWT720915:AWT720920 BGP720915:BGP720920 BQL720915:BQL720920 CAH720915:CAH720920 CKD720915:CKD720920 CTZ720915:CTZ720920 DDV720915:DDV720920 DNR720915:DNR720920 DXN720915:DXN720920 EHJ720915:EHJ720920 ERF720915:ERF720920 FBB720915:FBB720920 FKX720915:FKX720920 FUT720915:FUT720920 GEP720915:GEP720920 GOL720915:GOL720920 GYH720915:GYH720920 HID720915:HID720920 HRZ720915:HRZ720920 IBV720915:IBV720920 ILR720915:ILR720920 IVN720915:IVN720920 JFJ720915:JFJ720920 JPF720915:JPF720920 JZB720915:JZB720920 KIX720915:KIX720920 KST720915:KST720920 LCP720915:LCP720920 LML720915:LML720920 LWH720915:LWH720920 MGD720915:MGD720920 MPZ720915:MPZ720920 MZV720915:MZV720920 NJR720915:NJR720920 NTN720915:NTN720920 ODJ720915:ODJ720920 ONF720915:ONF720920 OXB720915:OXB720920 PGX720915:PGX720920 PQT720915:PQT720920 QAP720915:QAP720920 QKL720915:QKL720920 QUH720915:QUH720920 RED720915:RED720920 RNZ720915:RNZ720920 RXV720915:RXV720920 SHR720915:SHR720920 SRN720915:SRN720920 TBJ720915:TBJ720920 TLF720915:TLF720920 TVB720915:TVB720920 UEX720915:UEX720920 UOT720915:UOT720920 UYP720915:UYP720920 VIL720915:VIL720920 VSH720915:VSH720920 WCD720915:WCD720920 WLZ720915:WLZ720920 WVV720915:WVV720920 X786451:X786456 JJ786451:JJ786456 TF786451:TF786456 ADB786451:ADB786456 AMX786451:AMX786456 AWT786451:AWT786456 BGP786451:BGP786456 BQL786451:BQL786456 CAH786451:CAH786456 CKD786451:CKD786456 CTZ786451:CTZ786456 DDV786451:DDV786456 DNR786451:DNR786456 DXN786451:DXN786456 EHJ786451:EHJ786456 ERF786451:ERF786456 FBB786451:FBB786456 FKX786451:FKX786456 FUT786451:FUT786456 GEP786451:GEP786456 GOL786451:GOL786456 GYH786451:GYH786456 HID786451:HID786456 HRZ786451:HRZ786456 IBV786451:IBV786456 ILR786451:ILR786456 IVN786451:IVN786456 JFJ786451:JFJ786456 JPF786451:JPF786456 JZB786451:JZB786456 KIX786451:KIX786456 KST786451:KST786456 LCP786451:LCP786456 LML786451:LML786456 LWH786451:LWH786456 MGD786451:MGD786456 MPZ786451:MPZ786456 MZV786451:MZV786456 NJR786451:NJR786456 NTN786451:NTN786456 ODJ786451:ODJ786456 ONF786451:ONF786456 OXB786451:OXB786456 PGX786451:PGX786456 PQT786451:PQT786456 QAP786451:QAP786456 QKL786451:QKL786456 QUH786451:QUH786456 RED786451:RED786456 RNZ786451:RNZ786456 RXV786451:RXV786456 SHR786451:SHR786456 SRN786451:SRN786456 TBJ786451:TBJ786456 TLF786451:TLF786456 TVB786451:TVB786456 UEX786451:UEX786456 UOT786451:UOT786456 UYP786451:UYP786456 VIL786451:VIL786456 VSH786451:VSH786456 WCD786451:WCD786456 WLZ786451:WLZ786456 WVV786451:WVV786456 X851987:X851992 JJ851987:JJ851992 TF851987:TF851992 ADB851987:ADB851992 AMX851987:AMX851992 AWT851987:AWT851992 BGP851987:BGP851992 BQL851987:BQL851992 CAH851987:CAH851992 CKD851987:CKD851992 CTZ851987:CTZ851992 DDV851987:DDV851992 DNR851987:DNR851992 DXN851987:DXN851992 EHJ851987:EHJ851992 ERF851987:ERF851992 FBB851987:FBB851992 FKX851987:FKX851992 FUT851987:FUT851992 GEP851987:GEP851992 GOL851987:GOL851992 GYH851987:GYH851992 HID851987:HID851992 HRZ851987:HRZ851992 IBV851987:IBV851992 ILR851987:ILR851992 IVN851987:IVN851992 JFJ851987:JFJ851992 JPF851987:JPF851992 JZB851987:JZB851992 KIX851987:KIX851992 KST851987:KST851992 LCP851987:LCP851992 LML851987:LML851992 LWH851987:LWH851992 MGD851987:MGD851992 MPZ851987:MPZ851992 MZV851987:MZV851992 NJR851987:NJR851992 NTN851987:NTN851992 ODJ851987:ODJ851992 ONF851987:ONF851992 OXB851987:OXB851992 PGX851987:PGX851992 PQT851987:PQT851992 QAP851987:QAP851992 QKL851987:QKL851992 QUH851987:QUH851992 RED851987:RED851992 RNZ851987:RNZ851992 RXV851987:RXV851992 SHR851987:SHR851992 SRN851987:SRN851992 TBJ851987:TBJ851992 TLF851987:TLF851992 TVB851987:TVB851992 UEX851987:UEX851992 UOT851987:UOT851992 UYP851987:UYP851992 VIL851987:VIL851992 VSH851987:VSH851992 WCD851987:WCD851992 WLZ851987:WLZ851992 WVV851987:WVV851992 X917523:X917528 JJ917523:JJ917528 TF917523:TF917528 ADB917523:ADB917528 AMX917523:AMX917528 AWT917523:AWT917528 BGP917523:BGP917528 BQL917523:BQL917528 CAH917523:CAH917528 CKD917523:CKD917528 CTZ917523:CTZ917528 DDV917523:DDV917528 DNR917523:DNR917528 DXN917523:DXN917528 EHJ917523:EHJ917528 ERF917523:ERF917528 FBB917523:FBB917528 FKX917523:FKX917528 FUT917523:FUT917528 GEP917523:GEP917528 GOL917523:GOL917528 GYH917523:GYH917528 HID917523:HID917528 HRZ917523:HRZ917528 IBV917523:IBV917528 ILR917523:ILR917528 IVN917523:IVN917528 JFJ917523:JFJ917528 JPF917523:JPF917528 JZB917523:JZB917528 KIX917523:KIX917528 KST917523:KST917528 LCP917523:LCP917528 LML917523:LML917528 LWH917523:LWH917528 MGD917523:MGD917528 MPZ917523:MPZ917528 MZV917523:MZV917528 NJR917523:NJR917528 NTN917523:NTN917528 ODJ917523:ODJ917528 ONF917523:ONF917528 OXB917523:OXB917528 PGX917523:PGX917528 PQT917523:PQT917528 QAP917523:QAP917528 QKL917523:QKL917528 QUH917523:QUH917528 RED917523:RED917528 RNZ917523:RNZ917528 RXV917523:RXV917528 SHR917523:SHR917528 SRN917523:SRN917528 TBJ917523:TBJ917528 TLF917523:TLF917528 TVB917523:TVB917528 UEX917523:UEX917528 UOT917523:UOT917528 UYP917523:UYP917528 VIL917523:VIL917528 VSH917523:VSH917528 WCD917523:WCD917528 WLZ917523:WLZ917528 WVV917523:WVV917528 X983059:X983064 JJ983059:JJ983064 TF983059:TF983064 ADB983059:ADB983064 AMX983059:AMX983064 AWT983059:AWT983064 BGP983059:BGP983064 BQL983059:BQL983064 CAH983059:CAH983064 CKD983059:CKD983064 CTZ983059:CTZ983064 DDV983059:DDV983064 DNR983059:DNR983064 DXN983059:DXN983064 EHJ983059:EHJ983064 ERF983059:ERF983064 FBB983059:FBB983064 FKX983059:FKX983064 FUT983059:FUT983064 GEP983059:GEP983064 GOL983059:GOL983064 GYH983059:GYH983064 HID983059:HID983064 HRZ983059:HRZ983064 IBV983059:IBV983064 ILR983059:ILR983064 IVN983059:IVN983064 JFJ983059:JFJ983064 JPF983059:JPF983064 JZB983059:JZB983064 KIX983059:KIX983064 KST983059:KST983064 LCP983059:LCP983064 LML983059:LML983064 LWH983059:LWH983064 MGD983059:MGD983064 MPZ983059:MPZ983064 MZV983059:MZV983064 NJR983059:NJR983064 NTN983059:NTN983064 ODJ983059:ODJ983064 ONF983059:ONF983064 OXB983059:OXB983064 PGX983059:PGX983064 PQT983059:PQT983064 QAP983059:QAP983064 QKL983059:QKL983064 QUH983059:QUH983064 RED983059:RED983064 RNZ983059:RNZ983064 RXV983059:RXV983064 SHR983059:SHR983064 SRN983059:SRN983064 TBJ983059:TBJ983064 TLF983059:TLF983064 TVB983059:TVB983064 UEX983059:UEX983064 UOT983059:UOT983064 UYP983059:UYP983064 VIL983059:VIL983064 VSH983059:VSH983064 WCD983059:WCD983064 WLZ983059:WLZ983064 WVV19:WVV24 JJ19:JJ24 TF19:TF24 ADB19:ADB24 AMX19:AMX24 AWT19:AWT24 BGP19:BGP24 BQL19:BQL24 CAH19:CAH24 CKD19:CKD24 CTZ19:CTZ24 DDV19:DDV24 DNR19:DNR24 DXN19:DXN24 EHJ19:EHJ24 ERF19:ERF24 FBB19:FBB24 FKX19:FKX24 FUT19:FUT24 GEP19:GEP24 GOL19:GOL24 GYH19:GYH24 HID19:HID24 HRZ19:HRZ24 IBV19:IBV24 ILR19:ILR24 IVN19:IVN24 JFJ19:JFJ24 JPF19:JPF24 JZB19:JZB24 KIX19:KIX24 KST19:KST24 LCP19:LCP24 LML19:LML24 LWH19:LWH24 MGD19:MGD24 MPZ19:MPZ24 MZV19:MZV24 NJR19:NJR24 NTN19:NTN24 ODJ19:ODJ24 ONF19:ONF24 OXB19:OXB24 PGX19:PGX24 PQT19:PQT24 QAP19:QAP24 QKL19:QKL24 QUH19:QUH24 RED19:RED24 RNZ19:RNZ24 RXV19:RXV24 SHR19:SHR24 SRN19:SRN24 TBJ19:TBJ24 TLF19:TLF24 TVB19:TVB24 UEX19:UEX24 UOT19:UOT24 UYP19:UYP24 VIL19:VIL24 VSH19:VSH24 WCD19:WCD24 WLZ19:WLZ24 SW23">
      <formula1>900</formula1>
    </dataValidation>
  </dataValidation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39997558519241921"/>
  </sheetPr>
  <dimension ref="A1:L42"/>
  <sheetViews>
    <sheetView showGridLines="0" topLeftCell="C13" zoomScale="90" workbookViewId="0"/>
  </sheetViews>
  <sheetFormatPr defaultColWidth="10.5703125" defaultRowHeight="14.25" customHeight="1"/>
  <cols>
    <col min="1" max="1" width="9.140625" style="1683" hidden="1" customWidth="1"/>
    <col min="2" max="2" width="9.140625" style="1742" hidden="1" customWidth="1"/>
    <col min="3" max="3" width="3.7109375" style="1674" customWidth="1"/>
    <col min="4" max="4" width="6.28515625" style="1829" customWidth="1"/>
    <col min="5" max="5" width="63.42578125" style="1829" customWidth="1"/>
    <col min="6" max="6" width="1.7109375" style="1829" hidden="1" customWidth="1"/>
    <col min="7" max="8" width="35.7109375" style="1829" customWidth="1"/>
    <col min="9" max="9" width="91.5703125" style="1829" customWidth="1"/>
    <col min="10" max="10" width="68.85546875" style="1829" customWidth="1"/>
    <col min="11" max="12" width="10.5703125" style="1748"/>
  </cols>
  <sheetData>
    <row r="1" spans="1:12" ht="14.25" hidden="1" customHeight="1"/>
    <row r="2" spans="1:12" s="1829" customFormat="1" ht="18.75" hidden="1" customHeight="1">
      <c r="A2" s="1540"/>
      <c r="B2" s="1034"/>
      <c r="C2" s="1587" t="s">
        <v>1110</v>
      </c>
      <c r="D2" s="1531"/>
      <c r="E2" s="1695"/>
      <c r="F2" s="1528"/>
      <c r="G2" s="1528" t="s">
        <v>298</v>
      </c>
      <c r="H2" s="1035"/>
      <c r="K2" s="1483"/>
      <c r="L2" s="1483"/>
    </row>
    <row r="3" spans="1:12" s="1829" customFormat="1" ht="14.25" hidden="1" customHeight="1">
      <c r="A3" s="1241"/>
      <c r="B3" s="1034"/>
      <c r="C3" s="268"/>
      <c r="K3" s="1483"/>
      <c r="L3" s="1483"/>
    </row>
    <row r="4" spans="1:12" s="1829" customFormat="1" ht="18.75" hidden="1" customHeight="1">
      <c r="A4" s="1540"/>
      <c r="B4" s="1034"/>
      <c r="C4" s="1587" t="s">
        <v>1110</v>
      </c>
      <c r="D4" s="1531"/>
      <c r="E4" s="1696" t="s">
        <v>1581</v>
      </c>
      <c r="F4" s="1528"/>
      <c r="G4" s="1697"/>
      <c r="H4" s="1528" t="s">
        <v>298</v>
      </c>
      <c r="K4" s="1483"/>
      <c r="L4" s="1483"/>
    </row>
    <row r="5" spans="1:12" s="1829" customFormat="1" ht="14.25" hidden="1" customHeight="1">
      <c r="A5" s="1241"/>
      <c r="B5" s="1034"/>
      <c r="C5" s="268"/>
      <c r="K5" s="1483"/>
      <c r="L5" s="1483"/>
    </row>
    <row r="6" spans="1:12" s="1829" customFormat="1" ht="18.75" hidden="1" customHeight="1">
      <c r="A6" s="1540"/>
      <c r="B6" s="1034"/>
      <c r="C6" s="1587" t="s">
        <v>1110</v>
      </c>
      <c r="D6" s="1531"/>
      <c r="E6" s="1698" t="s">
        <v>1582</v>
      </c>
      <c r="F6" s="1528"/>
      <c r="G6" s="1697"/>
      <c r="H6" s="1528" t="s">
        <v>298</v>
      </c>
      <c r="K6" s="1483"/>
      <c r="L6" s="1483"/>
    </row>
    <row r="7" spans="1:12" s="1829" customFormat="1" ht="14.25" hidden="1" customHeight="1">
      <c r="A7" s="1241"/>
      <c r="B7" s="1034"/>
      <c r="C7" s="268"/>
      <c r="K7" s="1483"/>
      <c r="L7" s="1483"/>
    </row>
    <row r="8" spans="1:12" s="1829" customFormat="1" ht="18.75" hidden="1" customHeight="1">
      <c r="A8" s="1540"/>
      <c r="B8" s="1034"/>
      <c r="C8" s="1587" t="s">
        <v>1110</v>
      </c>
      <c r="D8" s="1531"/>
      <c r="E8" s="1698" t="s">
        <v>1583</v>
      </c>
      <c r="F8" s="1528"/>
      <c r="G8" s="1697"/>
      <c r="H8" s="1528" t="s">
        <v>298</v>
      </c>
      <c r="K8" s="1483"/>
      <c r="L8" s="1483"/>
    </row>
    <row r="9" spans="1:12" s="1829" customFormat="1" ht="14.25" hidden="1" customHeight="1">
      <c r="A9" s="1241"/>
      <c r="B9" s="1034"/>
      <c r="C9" s="268"/>
      <c r="K9" s="1483"/>
      <c r="L9" s="1483"/>
    </row>
    <row r="10" spans="1:12" s="1829" customFormat="1" ht="18.75" hidden="1" customHeight="1">
      <c r="A10" s="1540"/>
      <c r="B10" s="1034"/>
      <c r="C10" s="1587" t="s">
        <v>1110</v>
      </c>
      <c r="D10" s="1531"/>
      <c r="E10" s="1698" t="s">
        <v>1584</v>
      </c>
      <c r="F10" s="1528"/>
      <c r="G10" s="1532"/>
      <c r="H10" s="1528" t="s">
        <v>298</v>
      </c>
      <c r="K10" s="1483"/>
      <c r="L10" s="1483" t="s">
        <v>1585</v>
      </c>
    </row>
    <row r="11" spans="1:12" ht="14.25" hidden="1" customHeight="1"/>
    <row r="12" spans="1:12" ht="14.25" hidden="1" customHeight="1"/>
    <row r="13" spans="1:12" ht="14.25" customHeight="1">
      <c r="C13" s="35"/>
      <c r="D13" s="23"/>
      <c r="E13" s="23"/>
      <c r="F13" s="23"/>
      <c r="G13" s="23"/>
      <c r="H13" s="24"/>
      <c r="I13" s="24"/>
    </row>
    <row r="14" spans="1:12" ht="30" customHeight="1">
      <c r="C14" s="35"/>
      <c r="D14" s="2000" t="str">
        <f>PROCEDURE_TC_NAME_FORM</f>
        <v>Форма 12. Информация о порядке выполнения технологических, технических и других мероприятий, связанных с подключением (технологическим присоединением) к централизованной системе горячего водоснабжения &lt;1&gt;</v>
      </c>
      <c r="E14" s="2001"/>
      <c r="F14" s="2001"/>
      <c r="G14" s="2001"/>
      <c r="H14" s="2002"/>
      <c r="J14" s="1490"/>
    </row>
    <row r="15" spans="1:12" s="1829" customFormat="1" ht="14.25" customHeight="1">
      <c r="A15" s="1241"/>
      <c r="B15" s="1034"/>
      <c r="C15" s="304"/>
      <c r="D15" s="2112" t="str">
        <f>IF(org=0,"Не определено",org)</f>
        <v>МУП г. Астрахани "Коммунэнерго"</v>
      </c>
      <c r="E15" s="2113"/>
      <c r="F15" s="2113"/>
      <c r="G15" s="2113"/>
      <c r="H15" s="2114"/>
      <c r="J15" s="753"/>
      <c r="K15" s="1483"/>
      <c r="L15" s="1483"/>
    </row>
    <row r="16" spans="1:12" ht="14.25" customHeight="1">
      <c r="C16" s="35"/>
      <c r="D16" s="23"/>
      <c r="E16" s="34"/>
      <c r="F16" s="34"/>
      <c r="G16" s="34"/>
      <c r="H16" s="664"/>
      <c r="I16" s="118"/>
    </row>
    <row r="17" spans="1:12" s="1829" customFormat="1" ht="14.25" hidden="1" customHeight="1">
      <c r="A17" s="1241"/>
      <c r="B17" s="1034"/>
      <c r="C17" s="304"/>
      <c r="D17" s="289"/>
      <c r="E17" s="321"/>
      <c r="F17" s="321"/>
      <c r="G17" s="321"/>
      <c r="H17" s="664"/>
      <c r="I17" s="118"/>
      <c r="K17" s="1483"/>
      <c r="L17" s="1483"/>
    </row>
    <row r="18" spans="1:12" ht="21" customHeight="1">
      <c r="C18" s="35"/>
      <c r="D18" s="2097" t="s">
        <v>292</v>
      </c>
      <c r="E18" s="2097"/>
      <c r="F18" s="2097"/>
      <c r="G18" s="2097"/>
      <c r="H18" s="2097"/>
      <c r="I18" s="2209" t="s">
        <v>293</v>
      </c>
    </row>
    <row r="19" spans="1:12" ht="21" customHeight="1">
      <c r="C19" s="35"/>
      <c r="D19" s="41" t="s">
        <v>87</v>
      </c>
      <c r="E19" s="44" t="s">
        <v>294</v>
      </c>
      <c r="F19" s="44"/>
      <c r="G19" s="44" t="s">
        <v>295</v>
      </c>
      <c r="H19" s="44" t="s">
        <v>384</v>
      </c>
      <c r="I19" s="2209"/>
    </row>
    <row r="20" spans="1:12" ht="12" customHeight="1">
      <c r="C20" s="35"/>
      <c r="D20" s="26" t="s">
        <v>108</v>
      </c>
      <c r="E20" s="26" t="s">
        <v>109</v>
      </c>
      <c r="F20" s="26"/>
      <c r="G20" s="26" t="s">
        <v>89</v>
      </c>
      <c r="H20" s="26" t="s">
        <v>90</v>
      </c>
      <c r="I20" s="26" t="s">
        <v>110</v>
      </c>
    </row>
    <row r="21" spans="1:12" ht="14.25" customHeight="1">
      <c r="A21" s="1540"/>
      <c r="C21" s="35"/>
      <c r="D21" s="76">
        <v>1</v>
      </c>
      <c r="E21" s="2291" t="s">
        <v>1586</v>
      </c>
      <c r="F21" s="2291"/>
      <c r="G21" s="2291"/>
      <c r="H21" s="2291"/>
      <c r="I21" s="129"/>
    </row>
    <row r="22" spans="1:12" ht="20.25" customHeight="1">
      <c r="A22" s="1540"/>
      <c r="C22" s="35"/>
      <c r="D22" s="76" t="s">
        <v>620</v>
      </c>
      <c r="E22" s="119" t="s">
        <v>1587</v>
      </c>
      <c r="F22" s="122"/>
      <c r="G22" s="1594"/>
      <c r="H22" s="122" t="s">
        <v>298</v>
      </c>
      <c r="I22" s="80" t="s">
        <v>1588</v>
      </c>
    </row>
    <row r="23" spans="1:12" ht="45" customHeight="1">
      <c r="A23" s="1540"/>
      <c r="C23" s="35"/>
      <c r="D23" s="76" t="s">
        <v>626</v>
      </c>
      <c r="E23" s="119" t="s">
        <v>1589</v>
      </c>
      <c r="F23" s="122"/>
      <c r="G23" s="1697"/>
      <c r="H23" s="135"/>
      <c r="I23" s="176" t="s">
        <v>1590</v>
      </c>
    </row>
    <row r="24" spans="1:12" ht="14.25" customHeight="1">
      <c r="A24" s="1540"/>
      <c r="B24" s="75">
        <v>3</v>
      </c>
      <c r="C24" s="35"/>
      <c r="D24" s="76">
        <v>2</v>
      </c>
      <c r="E24" s="144" t="str">
        <f>"Форма заявки на заключение договора о подключении (технологическом присоединении) к системе "&amp;TEMPLATE_SPHERE_RUS</f>
        <v>Форма заявки на заключение договора о подключении (технологическом присоединении) к системе горячего водоснабжения</v>
      </c>
      <c r="F24" s="122"/>
      <c r="G24" s="122" t="s">
        <v>298</v>
      </c>
      <c r="H24" s="135"/>
      <c r="I24" s="177" t="s">
        <v>713</v>
      </c>
    </row>
    <row r="25" spans="1:12" ht="46.5" customHeight="1">
      <c r="A25" s="1540"/>
      <c r="C25" s="35"/>
      <c r="D25" s="76">
        <v>3</v>
      </c>
      <c r="E25" s="2291" t="str">
        <f>"Перечень документов и сведений, представляемых одновременно "&amp;IF(TEMPLATE_SPHERE="HEAT","с заявкой на заключение","с заявлением о заключении")&amp;" договора о подключении (технологическом присоединении) к системе "&amp;TEMPLATE_SPHERE_RUS&amp;IF(TEMPLATE_SPHERE="HEAT","",", и указание на запрет требовать представления документов и сведений или осуществления действий, не предусмотренных законодательством Российской Федерации"&amp;" о градостроительной деятельности и законодательством Российской Федерации в сфере водоснабжения и водоотведения")</f>
        <v>Перечень документов и сведений, представляемых одновременно с заявлением о заключении договора о подключении (технологическом присоединении) к системе горячего водоснабжения, и указание на запрет требовать представления документов и сведений или осуществления действий, не предусмотренных законодательством Российской Федерации о градостроительной деятельности и законодательством Российской Федерации в сфере водоснабжения и водоотведения</v>
      </c>
      <c r="F25" s="2291"/>
      <c r="G25" s="2291"/>
      <c r="H25" s="2291"/>
      <c r="I25" s="175"/>
    </row>
    <row r="26" spans="1:12" ht="14.25" customHeight="1">
      <c r="A26" s="1540"/>
      <c r="C26" s="35"/>
      <c r="D26" s="76" t="s">
        <v>318</v>
      </c>
      <c r="E26" s="1695"/>
      <c r="F26" s="122"/>
      <c r="G26" s="122" t="s">
        <v>298</v>
      </c>
      <c r="H26" s="135"/>
      <c r="I26" s="2053" t="s">
        <v>1591</v>
      </c>
    </row>
    <row r="27" spans="1:12" ht="15" customHeight="1">
      <c r="A27" s="1540" t="s">
        <v>108</v>
      </c>
      <c r="C27" s="35"/>
      <c r="D27" s="45"/>
      <c r="E27" s="126" t="s">
        <v>1456</v>
      </c>
      <c r="F27" s="127"/>
      <c r="G27" s="127"/>
      <c r="H27" s="124"/>
      <c r="I27" s="2055"/>
    </row>
    <row r="28" spans="1:12" ht="38.25" customHeight="1">
      <c r="A28" s="1540"/>
      <c r="B28" s="75">
        <v>3</v>
      </c>
      <c r="C28" s="35"/>
      <c r="D28" s="76">
        <v>4</v>
      </c>
      <c r="E28" s="2291" t="str">
        <f>"Реквизиты нормативных правовых актов, регламентирующих порядок действий заявителя и "&amp;IF(TEMPLATE_SPHERE="HEAT","регулируемой ","")&amp;"организации"&amp;IF(TEMPLATE_SPHERE="HEAT",""," "&amp;TEMPLATE_SPHERE_RUS)&amp;" при подаче, приеме, обработке "&amp;IF(TEMPLATE_SPHERE="HEAT","заявки на заключение","заявления о заключении")&amp;" договора о подключении (технологическом присоединении) к системе "&amp;TEMPLATE_SPHERE_RUS&amp;IF(TEMPLATE_SPHERE="HEAT",""," (в том числе в форме электронного документа)")</f>
        <v>Реквизиты нормативных правовых актов, регламентирующих порядок действий заявителя и организации горячего водоснабжения при подаче, приеме, обработке заявления о заключении договора о подключении (технологическом присоединении) к системе горячего водоснабжения (в том числе в форме электронного документа)</v>
      </c>
      <c r="F28" s="2291"/>
      <c r="G28" s="2291"/>
      <c r="H28" s="2291"/>
      <c r="I28" s="175"/>
    </row>
    <row r="29" spans="1:12" ht="20.25" customHeight="1">
      <c r="A29" s="1540"/>
      <c r="C29" s="35"/>
      <c r="D29" s="76" t="s">
        <v>613</v>
      </c>
      <c r="E29" s="1696" t="s">
        <v>1581</v>
      </c>
      <c r="F29" s="122"/>
      <c r="G29" s="1697"/>
      <c r="H29" s="122" t="s">
        <v>298</v>
      </c>
      <c r="I29" s="2053" t="s">
        <v>1592</v>
      </c>
    </row>
    <row r="30" spans="1:12" ht="15" customHeight="1">
      <c r="A30" s="1540" t="s">
        <v>109</v>
      </c>
      <c r="C30" s="35"/>
      <c r="D30" s="45"/>
      <c r="E30" s="126" t="s">
        <v>1456</v>
      </c>
      <c r="F30" s="127"/>
      <c r="G30" s="127"/>
      <c r="H30" s="124"/>
      <c r="I30" s="2055"/>
    </row>
    <row r="31" spans="1:12" ht="30" customHeight="1">
      <c r="A31" s="1540"/>
      <c r="B31" s="75">
        <v>3</v>
      </c>
      <c r="C31" s="35"/>
      <c r="D31" s="76">
        <v>5</v>
      </c>
      <c r="E31" s="2291" t="str">
        <f>"Телефоны, адреса и график работы службы, ответственной за прием и обработку заявок на заключение договора о подключении (технологическом присоединении) к системе "&amp;TEMPLATE_SPHERE_RUS</f>
        <v>Телефоны, адреса и график работы службы, ответственной за прием и обработку заявок на заключение договора о подключении (технологическом присоединении) к системе горячего водоснабжения</v>
      </c>
      <c r="F31" s="2291"/>
      <c r="G31" s="2291"/>
      <c r="H31" s="2291"/>
      <c r="I31" s="175"/>
    </row>
    <row r="32" spans="1:12" ht="26.25" customHeight="1">
      <c r="A32" s="1540"/>
      <c r="C32" s="35"/>
      <c r="D32" s="76" t="s">
        <v>307</v>
      </c>
      <c r="E32" s="2292" t="str">
        <f>"телефоны службы, ответственной за прием и обработку заявок на заключение договора о подключении (технологическом присоединении) к системе "&amp;TEMPLATE_SPHERE_RUS</f>
        <v>телефоны службы, ответственной за прием и обработку заявок на заключение договора о подключении (технологическом присоединении) к системе горячего водоснабжения</v>
      </c>
      <c r="F32" s="2292"/>
      <c r="G32" s="2292"/>
      <c r="H32" s="2292"/>
      <c r="I32" s="175"/>
    </row>
    <row r="33" spans="1:12" ht="14.25" customHeight="1">
      <c r="A33" s="1540"/>
      <c r="C33" s="35"/>
      <c r="D33" s="76" t="s">
        <v>621</v>
      </c>
      <c r="E33" s="1698" t="s">
        <v>1582</v>
      </c>
      <c r="F33" s="122"/>
      <c r="G33" s="1697"/>
      <c r="H33" s="122" t="s">
        <v>298</v>
      </c>
      <c r="I33" s="2053" t="s">
        <v>1593</v>
      </c>
    </row>
    <row r="34" spans="1:12" ht="15" customHeight="1">
      <c r="A34" s="1540" t="s">
        <v>89</v>
      </c>
      <c r="C34" s="35"/>
      <c r="D34" s="45"/>
      <c r="E34" s="127" t="s">
        <v>1456</v>
      </c>
      <c r="F34" s="123"/>
      <c r="G34" s="123"/>
      <c r="H34" s="124"/>
      <c r="I34" s="2055"/>
    </row>
    <row r="35" spans="1:12" ht="24" customHeight="1">
      <c r="A35" s="1540"/>
      <c r="C35" s="35"/>
      <c r="D35" s="76" t="s">
        <v>309</v>
      </c>
      <c r="E35" s="2292" t="str">
        <f>"адреса службы, ответственной за прием и обработку заявок на заключение договора о подключении (технологическом присоединении) к системе "&amp;TEMPLATE_SPHERE_RUS</f>
        <v>адреса службы, ответственной за прием и обработку заявок на заключение договора о подключении (технологическом присоединении) к системе горячего водоснабжения</v>
      </c>
      <c r="F35" s="2292"/>
      <c r="G35" s="2292"/>
      <c r="H35" s="2292"/>
      <c r="I35" s="175"/>
    </row>
    <row r="36" spans="1:12" ht="14.25" customHeight="1">
      <c r="A36" s="1540"/>
      <c r="C36" s="35"/>
      <c r="D36" s="76" t="s">
        <v>1594</v>
      </c>
      <c r="E36" s="1698" t="s">
        <v>1583</v>
      </c>
      <c r="F36" s="122"/>
      <c r="G36" s="1697"/>
      <c r="H36" s="122" t="s">
        <v>298</v>
      </c>
      <c r="I36" s="2029" t="s">
        <v>1595</v>
      </c>
    </row>
    <row r="37" spans="1:12" ht="15" customHeight="1">
      <c r="A37" s="1540" t="s">
        <v>90</v>
      </c>
      <c r="C37" s="35"/>
      <c r="D37" s="45"/>
      <c r="E37" s="127" t="s">
        <v>1456</v>
      </c>
      <c r="F37" s="123"/>
      <c r="G37" s="123"/>
      <c r="H37" s="124"/>
      <c r="I37" s="2029"/>
    </row>
    <row r="38" spans="1:12" ht="26.25" customHeight="1">
      <c r="A38" s="1540"/>
      <c r="C38" s="35"/>
      <c r="D38" s="76" t="s">
        <v>312</v>
      </c>
      <c r="E38" s="2292" t="str">
        <f>"график работы службы, ответственной за прием и обработку заявок на заключение договора о подключении (технологическом присоединении) к системе "&amp;TEMPLATE_SPHERE_RUS</f>
        <v>график работы службы, ответственной за прием и обработку заявок на заключение договора о подключении (технологическом присоединении) к системе горячего водоснабжения</v>
      </c>
      <c r="F38" s="2292"/>
      <c r="G38" s="2292"/>
      <c r="H38" s="2292"/>
      <c r="I38" s="175"/>
    </row>
    <row r="39" spans="1:12" ht="14.25" customHeight="1">
      <c r="A39" s="1540"/>
      <c r="C39" s="35"/>
      <c r="D39" s="76" t="s">
        <v>1596</v>
      </c>
      <c r="E39" s="1698" t="s">
        <v>1584</v>
      </c>
      <c r="F39" s="122"/>
      <c r="G39" s="128"/>
      <c r="H39" s="122" t="s">
        <v>298</v>
      </c>
      <c r="I39" s="2053" t="s">
        <v>1597</v>
      </c>
      <c r="L39" s="84" t="s">
        <v>1585</v>
      </c>
    </row>
    <row r="40" spans="1:12" ht="15" customHeight="1">
      <c r="A40" s="1540" t="s">
        <v>110</v>
      </c>
      <c r="C40" s="35"/>
      <c r="D40" s="45"/>
      <c r="E40" s="127" t="s">
        <v>1456</v>
      </c>
      <c r="F40" s="123"/>
      <c r="G40" s="123"/>
      <c r="H40" s="124"/>
      <c r="I40" s="2055"/>
    </row>
    <row r="41" spans="1:12" s="1797" customFormat="1" ht="3" customHeight="1">
      <c r="A41" s="1540"/>
      <c r="K41" s="120"/>
      <c r="L41" s="120"/>
    </row>
    <row r="42" spans="1:12" ht="24.75" customHeight="1">
      <c r="D42" s="1539" t="s">
        <v>1511</v>
      </c>
      <c r="E42" s="2220" t="str">
        <f>"Информация размещается в случае, если организация осуществляет услуги по подключению (технологическому присоединению) к системе "&amp;TEMPLATE_SPHERE_RUS&amp;"."</f>
        <v>Информация размещается в случае, если организация осуществляет услуги по подключению (технологическому присоединению) к системе горячего водоснабжения.</v>
      </c>
      <c r="F42" s="2220"/>
      <c r="G42" s="2220"/>
      <c r="H42" s="2220"/>
      <c r="I42" s="2220"/>
    </row>
  </sheetData>
  <sheetProtection formatColumns="0" formatRows="0" insertRows="0" deleteColumns="0" deleteRows="0" sort="0" autoFilter="0"/>
  <mergeCells count="17">
    <mergeCell ref="E42:I42"/>
    <mergeCell ref="E32:H32"/>
    <mergeCell ref="E35:H35"/>
    <mergeCell ref="E38:H38"/>
    <mergeCell ref="I33:I34"/>
    <mergeCell ref="I36:I37"/>
    <mergeCell ref="I39:I40"/>
    <mergeCell ref="I29:I30"/>
    <mergeCell ref="E31:H31"/>
    <mergeCell ref="D14:H14"/>
    <mergeCell ref="D18:H18"/>
    <mergeCell ref="I18:I19"/>
    <mergeCell ref="E21:H21"/>
    <mergeCell ref="E25:H25"/>
    <mergeCell ref="I26:I27"/>
    <mergeCell ref="E28:H28"/>
    <mergeCell ref="D15:H15"/>
  </mergeCells>
  <dataValidations count="4">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G22"/>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G10 G39">
      <formula1>"a"</formula1>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Мониторинг&quot;." sqref="H23:H24 H2 H26">
      <formula1>900</formula1>
    </dataValidation>
    <dataValidation type="textLength" operator="lessThanOrEqual" allowBlank="1" showInputMessage="1" showErrorMessage="1" errorTitle="Ошибка" error="Допускается ввод не более 900 символов!" sqref="I23:I24 I33 G36 I39 I26 E29 G33 E36 I29 E33 I36 G23 E26 I10 E23 G29 E10 G8 E2 I2 I4 G4 E4 E6 I6 G6 E8 I8 E39">
      <formula1>900</formula1>
    </dataValidation>
  </dataValidations>
  <pageMargins left="0.7" right="0.7" top="0.75" bottom="0.75" header="0.3" footer="0.3"/>
  <pageSetup orientation="portrait"/>
  <headerFooter>
    <oddHeader>&amp;L&amp;C&amp;R</oddHeader>
    <oddFooter>&amp;L&amp;C&amp;R</oddFooter>
    <evenHeader>&amp;L&amp;C&amp;R</evenHeader>
    <evenFooter>&amp;L&amp;C&amp;R</evenFooter>
  </headerFooter>
  <drawing r:id="rId1"/>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39997558519241921"/>
  </sheetPr>
  <dimension ref="A1:Q16"/>
  <sheetViews>
    <sheetView showGridLines="0" topLeftCell="C4" zoomScale="90" workbookViewId="0"/>
  </sheetViews>
  <sheetFormatPr defaultColWidth="10.5703125" defaultRowHeight="14.25" customHeight="1"/>
  <cols>
    <col min="1" max="1" width="9.140625" style="1720" hidden="1" customWidth="1"/>
    <col min="2" max="2" width="9.140625" style="1742" hidden="1" customWidth="1"/>
    <col min="3" max="3" width="3.7109375" style="1674" customWidth="1"/>
    <col min="4" max="4" width="6.28515625" style="1829" customWidth="1"/>
    <col min="5" max="5" width="38.140625" style="1829" customWidth="1"/>
    <col min="6" max="7" width="35.7109375" style="1829" customWidth="1"/>
    <col min="8" max="8" width="89.5703125" style="1829" customWidth="1"/>
    <col min="9" max="9" width="10.5703125" style="1829"/>
    <col min="10" max="11" width="10.5703125" style="1748"/>
    <col min="12" max="17" width="10.5703125" style="1829"/>
  </cols>
  <sheetData>
    <row r="1" spans="1:17" ht="14.25" hidden="1" customHeight="1">
      <c r="N1" s="174"/>
      <c r="O1" s="174"/>
      <c r="Q1" s="174"/>
    </row>
    <row r="2" spans="1:17" s="1829" customFormat="1" ht="18.75" hidden="1" customHeight="1">
      <c r="A2" s="39"/>
      <c r="B2" s="1034"/>
      <c r="C2" s="1587" t="s">
        <v>1110</v>
      </c>
      <c r="D2" s="1531"/>
      <c r="E2" s="1699"/>
      <c r="F2" s="1697"/>
      <c r="G2" s="1035"/>
      <c r="H2" s="301"/>
      <c r="I2" s="1483"/>
      <c r="J2" s="1483"/>
    </row>
    <row r="3" spans="1:17" ht="14.25" hidden="1" customHeight="1"/>
    <row r="4" spans="1:17" ht="6" customHeight="1">
      <c r="C4" s="304"/>
      <c r="D4" s="289"/>
      <c r="E4" s="289"/>
      <c r="F4" s="289"/>
      <c r="G4" s="24"/>
      <c r="H4" s="24"/>
    </row>
    <row r="5" spans="1:17" ht="54.75" customHeight="1">
      <c r="C5" s="304"/>
      <c r="D5" s="2000" t="str">
        <f>PURCH_NAME_FORM</f>
        <v>Форма 13. Информация о способах приобретения, стоимости и об объемах товаров (работ, услуг), необходимых организации горячего водоснабжениядля производства товаров (оказания услуг) в сфере горячего водоснабжения, тарифы на которые подлежат регулированию, содержит сведения о правовых актах, регламентирующих правила закупки (положение о закупке) в организации горячего водоснабжения и о месте их размещения, а также сведения о планировании закупок и результатах их проведения</v>
      </c>
      <c r="E5" s="2001"/>
      <c r="F5" s="2001"/>
      <c r="G5" s="2002"/>
      <c r="H5" s="184"/>
    </row>
    <row r="6" spans="1:17" s="1829" customFormat="1" ht="17.25" customHeight="1">
      <c r="A6" s="1527"/>
      <c r="B6" s="1034"/>
      <c r="C6" s="304"/>
      <c r="D6" s="2112" t="str">
        <f>IF(org=0,"Не определено",org)</f>
        <v>МУП г. Астрахани "Коммунэнерго"</v>
      </c>
      <c r="E6" s="2113"/>
      <c r="F6" s="2113"/>
      <c r="G6" s="2114"/>
      <c r="H6" s="184"/>
      <c r="J6" s="1483"/>
      <c r="K6" s="1483"/>
    </row>
    <row r="7" spans="1:17" ht="14.25" customHeight="1">
      <c r="C7" s="304"/>
      <c r="D7" s="289"/>
      <c r="E7" s="321"/>
      <c r="F7" s="321"/>
      <c r="G7" s="664"/>
      <c r="H7" s="118"/>
    </row>
    <row r="8" spans="1:17" ht="14.25" customHeight="1">
      <c r="C8" s="304"/>
      <c r="D8" s="2097" t="s">
        <v>292</v>
      </c>
      <c r="E8" s="2097"/>
      <c r="F8" s="2097"/>
      <c r="G8" s="2097"/>
      <c r="H8" s="2209" t="s">
        <v>293</v>
      </c>
    </row>
    <row r="9" spans="1:17" ht="14.25" customHeight="1">
      <c r="C9" s="304"/>
      <c r="D9" s="317" t="s">
        <v>87</v>
      </c>
      <c r="E9" s="44" t="s">
        <v>294</v>
      </c>
      <c r="F9" s="44" t="s">
        <v>295</v>
      </c>
      <c r="G9" s="44" t="s">
        <v>384</v>
      </c>
      <c r="H9" s="2209"/>
    </row>
    <row r="10" spans="1:17" ht="14.25" customHeight="1">
      <c r="A10" s="267"/>
      <c r="C10" s="304"/>
      <c r="D10" s="76" t="s">
        <v>108</v>
      </c>
      <c r="E10" s="320" t="str">
        <f>"Сведения о правовых актах, регламентирующих правила закупки (положение о закупках) в "&amp;IF(TEMPLATE_SPHERE="TKO","организации",IF(TEMPLATE_SPHERE="HEAT","регулируемой организации, единой теплоснабжающей организации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теплоснабжения","организации "&amp;TEMPLATE_SPHERE_RUS))</f>
        <v>Сведения о правовых актах, регламентирующих правила закупки (положение о закупках) в организации горячего водоснабжения</v>
      </c>
      <c r="F10" s="1697"/>
      <c r="G10" s="135"/>
      <c r="H10" s="2053" t="s">
        <v>1598</v>
      </c>
    </row>
    <row r="11" spans="1:17" ht="14.25" customHeight="1">
      <c r="A11" s="267"/>
      <c r="C11" s="304"/>
      <c r="D11" s="76" t="s">
        <v>109</v>
      </c>
      <c r="E11" s="320" t="str">
        <f>"Сведения о месте размещения "&amp;IF(TEMPLATE_SPHERE="TKO","положения о закупках в организации",IF(TEMPLATE_SPHERE="HEAT","положения о закупке регулируемой организации, единой теплоснабжающей организации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теплоснабжения","правовых актов, регламентирующих правила закупки (положение о закупках) в организации "&amp;TEMPLATE_SPHERE_RUS))</f>
        <v>Сведения о месте размещения правовых актов, регламентирующих правила закупки (положение о закупках) в организации горячего водоснабжения</v>
      </c>
      <c r="F11" s="1697"/>
      <c r="G11" s="135"/>
      <c r="H11" s="2054"/>
    </row>
    <row r="12" spans="1:17" ht="22.5" customHeight="1">
      <c r="A12" s="39"/>
      <c r="C12" s="318"/>
      <c r="D12" s="76" t="s">
        <v>89</v>
      </c>
      <c r="E12" s="320" t="str">
        <f>"Сведения о планировании закупочных процедур"&amp;IF(TEMPLATE_SPHERE="TKO"," &lt;1&gt;","")</f>
        <v>Сведения о планировании закупочных процедур</v>
      </c>
      <c r="F12" s="1697"/>
      <c r="G12" s="135"/>
      <c r="H12" s="2054" t="str">
        <f>"В случае наличия дополнительных сведений о способах приобретения, стоимости и объемах товаров, необходимых для производства "&amp;IF(OR(TEMPLATE_SPHERE="HEAT",TEMPLATE_SPHERE="TKO"),"","регулируемых ")&amp;"товаров и (или) оказания "&amp;IF(OR(TEMPLATE_SPHERE="HEAT",TEMPLATE_SPHERE="TKO"),"услуг организацией","регулируемых услуг регулируемой организацией")&amp;", информация по ним указывается в отдельных строках."</f>
        <v>В случае наличия дополнительных сведений о способах приобретения, стоимости и объемах товаров, необходимых для производства регулируемых товаров и (или) оказания регулируемых услуг регулируемой организацией, информация по ним указывается в отдельных строках.</v>
      </c>
      <c r="I12" s="274"/>
      <c r="K12" s="301"/>
    </row>
    <row r="13" spans="1:17" ht="22.5" customHeight="1">
      <c r="A13" s="39"/>
      <c r="C13" s="318"/>
      <c r="D13" s="76" t="s">
        <v>90</v>
      </c>
      <c r="E13" s="320" t="str">
        <f>"Сведения о результатах проведения закупочных процедур"&amp;IF(TEMPLATE_SPHERE="TKO"," &lt;1&gt;","")</f>
        <v>Сведения о результатах проведения закупочных процедур</v>
      </c>
      <c r="F13" s="1697"/>
      <c r="G13" s="135"/>
      <c r="H13" s="2054"/>
      <c r="I13" s="274"/>
      <c r="K13" s="301"/>
    </row>
    <row r="14" spans="1:17" ht="14.25" customHeight="1">
      <c r="A14" s="267"/>
      <c r="C14" s="304"/>
      <c r="D14" s="271"/>
      <c r="E14" s="327" t="s">
        <v>1456</v>
      </c>
      <c r="F14" s="273"/>
      <c r="G14" s="124"/>
      <c r="H14" s="2055"/>
    </row>
    <row r="15" spans="1:17" s="1829" customFormat="1" ht="14.25" customHeight="1">
      <c r="A15" s="267"/>
      <c r="B15" s="1034"/>
      <c r="C15" s="304"/>
      <c r="D15" s="328"/>
      <c r="E15" s="1535"/>
      <c r="F15" s="1536"/>
      <c r="G15" s="1537"/>
      <c r="H15" s="1538"/>
      <c r="J15" s="1483"/>
      <c r="K15" s="1483"/>
    </row>
    <row r="16" spans="1:17" ht="21.75" customHeight="1">
      <c r="D16" s="1539" t="s">
        <v>1511</v>
      </c>
      <c r="E16" s="2220" t="s">
        <v>1599</v>
      </c>
      <c r="F16" s="2220"/>
      <c r="G16" s="2220"/>
      <c r="H16" s="2220"/>
    </row>
  </sheetData>
  <sheetProtection formatColumns="0" formatRows="0" insertRows="0" deleteColumns="0" deleteRows="0" sort="0" autoFilter="0"/>
  <mergeCells count="7">
    <mergeCell ref="E16:H16"/>
    <mergeCell ref="H10:H11"/>
    <mergeCell ref="H12:H14"/>
    <mergeCell ref="D5:G5"/>
    <mergeCell ref="D8:G8"/>
    <mergeCell ref="H8:H9"/>
    <mergeCell ref="D6:G6"/>
  </mergeCells>
  <dataValidations count="2">
    <dataValidation type="textLength" operator="lessThanOrEqual" allowBlank="1" showInputMessage="1" showErrorMessage="1" errorTitle="Ошибка" error="Допускается ввод не более 900 символов!" sqref="H10 E13 E2:F2 F10:F13">
      <formula1>900</formula1>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Мониторинг&quot;, либо ссылку на официальный сайт в сети «Интернет», на котором размещена информация" sqref="G2 G10:G13">
      <formula1>900</formula1>
    </dataValidation>
  </dataValidations>
  <pageMargins left="0.7" right="0.7" top="0.75" bottom="0.75" header="0.3" footer="0.3"/>
  <pageSetup paperSize="9" orientation="portrait"/>
  <headerFooter>
    <oddHeader>&amp;L&amp;C&amp;R</oddHeader>
    <oddFooter>&amp;L&amp;C&amp;R</oddFooter>
    <evenHeader>&amp;L&amp;C&amp;R</evenHeader>
    <evenFooter>&amp;L&amp;C&amp;R</evenFooter>
  </headerFooter>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CCCCFF"/>
    <pageSetUpPr fitToPage="1"/>
  </sheetPr>
  <dimension ref="A1:AB28"/>
  <sheetViews>
    <sheetView showGridLines="0" topLeftCell="C2" zoomScale="90" workbookViewId="0">
      <selection activeCell="G13" sqref="G13"/>
    </sheetView>
  </sheetViews>
  <sheetFormatPr defaultColWidth="9.140625" defaultRowHeight="14.25" customHeight="1"/>
  <cols>
    <col min="1" max="1" width="8" style="1829" hidden="1" customWidth="1"/>
    <col min="2" max="2" width="6" style="1742" hidden="1" customWidth="1"/>
    <col min="3" max="3" width="3.7109375" style="1829" customWidth="1"/>
    <col min="4" max="4" width="3.7109375" style="1743" customWidth="1"/>
    <col min="5" max="5" width="6.28515625" style="1829" customWidth="1"/>
    <col min="6" max="6" width="2.7109375" style="1829" hidden="1" customWidth="1"/>
    <col min="7" max="7" width="46.7109375" style="1829" customWidth="1"/>
    <col min="8" max="8" width="43.140625" style="1829" customWidth="1"/>
    <col min="9" max="9" width="14.85546875" style="1829" customWidth="1"/>
    <col min="10" max="10" width="3.7109375" style="1748" customWidth="1"/>
    <col min="11" max="13" width="9.140625" style="1748" hidden="1"/>
    <col min="14" max="14" width="25.7109375" style="1748" hidden="1" customWidth="1"/>
    <col min="15" max="15" width="14.42578125" style="1748" hidden="1" customWidth="1"/>
    <col min="16" max="19" width="9.140625" style="1749" hidden="1"/>
    <col min="20" max="27" width="9.140625" style="1829" hidden="1"/>
    <col min="28" max="28" width="9.140625" style="1829"/>
  </cols>
  <sheetData>
    <row r="1" spans="1:28" s="1755" customFormat="1" ht="5.25" hidden="1" customHeight="1">
      <c r="A1" s="424"/>
      <c r="B1" s="439"/>
      <c r="C1" s="439"/>
      <c r="D1" s="143"/>
      <c r="F1" s="439"/>
      <c r="G1" s="166" t="s">
        <v>82</v>
      </c>
      <c r="H1" s="422" t="s">
        <v>83</v>
      </c>
      <c r="I1" s="149" t="s">
        <v>84</v>
      </c>
      <c r="J1" s="166" t="s">
        <v>82</v>
      </c>
      <c r="K1" s="166"/>
      <c r="L1" s="166"/>
      <c r="M1" s="166"/>
      <c r="N1" s="167"/>
      <c r="O1" s="166"/>
      <c r="P1" s="166"/>
      <c r="Q1" s="166"/>
      <c r="R1" s="166"/>
      <c r="S1" s="166"/>
      <c r="T1" s="149"/>
      <c r="U1" s="149"/>
      <c r="V1" s="149"/>
      <c r="W1" s="149"/>
      <c r="X1" s="149"/>
      <c r="Y1" s="149"/>
      <c r="Z1" s="149"/>
      <c r="AA1" s="149"/>
      <c r="AB1" s="149"/>
    </row>
    <row r="2" spans="1:28" s="1684" customFormat="1" ht="11.25" customHeight="1">
      <c r="A2" s="736"/>
      <c r="B2" s="150"/>
      <c r="C2" s="150"/>
      <c r="D2" s="151"/>
      <c r="E2" s="150"/>
      <c r="F2" s="150"/>
      <c r="G2" s="150"/>
      <c r="H2" s="150"/>
      <c r="I2" s="150"/>
      <c r="J2" s="166"/>
      <c r="K2" s="166"/>
      <c r="L2" s="166"/>
      <c r="M2" s="166"/>
      <c r="N2" s="167"/>
      <c r="O2" s="166"/>
      <c r="P2" s="152"/>
      <c r="Q2" s="152"/>
      <c r="R2" s="152"/>
      <c r="S2" s="152"/>
      <c r="T2" s="151"/>
      <c r="U2" s="151"/>
      <c r="V2" s="151"/>
      <c r="W2" s="151"/>
      <c r="X2" s="151"/>
      <c r="Y2" s="151"/>
      <c r="Z2" s="151"/>
      <c r="AA2" s="151"/>
      <c r="AB2" s="151"/>
    </row>
    <row r="3" spans="1:28" s="1648" customFormat="1" ht="3" customHeight="1">
      <c r="A3" s="668"/>
      <c r="B3" s="352"/>
      <c r="C3" s="668"/>
      <c r="D3" s="92"/>
      <c r="E3" s="40"/>
      <c r="F3" s="437"/>
      <c r="G3" s="40"/>
      <c r="H3" s="40"/>
      <c r="I3" s="94"/>
      <c r="J3" s="166"/>
      <c r="K3" s="84"/>
      <c r="L3" s="84"/>
      <c r="M3" s="84"/>
      <c r="N3" s="148"/>
      <c r="O3" s="84"/>
      <c r="P3" s="147"/>
      <c r="Q3" s="147"/>
      <c r="R3" s="147"/>
      <c r="S3" s="147"/>
    </row>
    <row r="4" spans="1:28" s="1648" customFormat="1" ht="25.5" customHeight="1">
      <c r="A4" s="668"/>
      <c r="B4" s="352"/>
      <c r="C4" s="668"/>
      <c r="D4" s="92"/>
      <c r="E4" s="1993" t="str">
        <f>NameTemplatesInListMO</f>
        <v>Перечень муниципальных районов и муниципальных образований (территорий оказания услуг)</v>
      </c>
      <c r="F4" s="1993"/>
      <c r="G4" s="1993"/>
      <c r="H4" s="1993"/>
      <c r="I4" s="1993"/>
      <c r="J4" s="166"/>
      <c r="K4" s="84"/>
      <c r="L4" s="84"/>
      <c r="M4" s="84"/>
      <c r="N4" s="148"/>
      <c r="O4" s="84"/>
      <c r="P4" s="147"/>
      <c r="Q4" s="147"/>
      <c r="R4" s="147"/>
      <c r="S4" s="147"/>
    </row>
    <row r="5" spans="1:28" s="1648" customFormat="1" ht="3" customHeight="1">
      <c r="A5" s="668"/>
      <c r="B5" s="352"/>
      <c r="C5" s="668"/>
      <c r="D5" s="92"/>
      <c r="E5" s="40"/>
      <c r="F5" s="437"/>
      <c r="G5" s="95"/>
      <c r="H5" s="95"/>
      <c r="I5" s="96"/>
      <c r="J5" s="84"/>
      <c r="K5" s="84"/>
      <c r="L5" s="84"/>
      <c r="M5" s="84"/>
      <c r="N5" s="148"/>
      <c r="O5" s="84"/>
      <c r="P5" s="147"/>
      <c r="Q5" s="147"/>
      <c r="R5" s="147"/>
      <c r="S5" s="147"/>
    </row>
    <row r="6" spans="1:28" s="1648" customFormat="1" ht="20.25" hidden="1" customHeight="1">
      <c r="A6" s="742"/>
      <c r="B6" s="738"/>
      <c r="C6" s="97"/>
      <c r="D6" s="92"/>
      <c r="E6" s="686"/>
      <c r="F6" s="686"/>
      <c r="G6" s="95"/>
      <c r="H6" s="98"/>
      <c r="I6" s="98"/>
      <c r="J6" s="84"/>
      <c r="K6" s="84"/>
      <c r="L6" s="84"/>
      <c r="M6" s="84"/>
      <c r="N6" s="148"/>
      <c r="O6" s="84"/>
      <c r="P6" s="147"/>
      <c r="Q6" s="147"/>
      <c r="R6" s="147"/>
      <c r="S6" s="147"/>
    </row>
    <row r="7" spans="1:28" ht="25.5" hidden="1" customHeight="1"/>
    <row r="8" spans="1:28" s="1648" customFormat="1" ht="14.25" customHeight="1">
      <c r="A8" s="668"/>
      <c r="B8" s="352"/>
      <c r="C8" s="668"/>
      <c r="D8" s="92"/>
      <c r="E8" s="1989" t="s">
        <v>85</v>
      </c>
      <c r="F8" s="1994"/>
      <c r="G8" s="1988"/>
      <c r="H8" s="1995" t="s">
        <v>86</v>
      </c>
      <c r="I8" s="1995"/>
      <c r="J8" s="84"/>
      <c r="K8" s="84"/>
      <c r="L8" s="84"/>
      <c r="M8" s="84"/>
      <c r="N8" s="148"/>
      <c r="O8" s="84"/>
      <c r="P8" s="147"/>
      <c r="Q8" s="147"/>
      <c r="R8" s="147"/>
      <c r="S8" s="147"/>
    </row>
    <row r="9" spans="1:28" s="1648" customFormat="1" ht="20.25" customHeight="1">
      <c r="A9" s="668"/>
      <c r="B9" s="352"/>
      <c r="C9" s="668"/>
      <c r="D9" s="92"/>
      <c r="E9" s="684" t="s">
        <v>87</v>
      </c>
      <c r="F9" s="684"/>
      <c r="G9" s="100" t="s">
        <v>88</v>
      </c>
      <c r="H9" s="100" t="s">
        <v>88</v>
      </c>
      <c r="I9" s="100" t="s">
        <v>84</v>
      </c>
      <c r="J9" s="84"/>
      <c r="K9" s="84"/>
      <c r="L9" s="84"/>
      <c r="M9" s="84"/>
      <c r="N9" s="148"/>
      <c r="O9" s="84"/>
      <c r="P9" s="147"/>
      <c r="Q9" s="147"/>
      <c r="R9" s="147"/>
      <c r="S9" s="147"/>
    </row>
    <row r="10" spans="1:28" ht="11.25" customHeight="1">
      <c r="D10" s="104"/>
      <c r="E10" s="685" t="s">
        <v>89</v>
      </c>
      <c r="F10" s="685"/>
      <c r="G10" s="145" t="s">
        <v>90</v>
      </c>
      <c r="H10" s="145" t="s">
        <v>91</v>
      </c>
      <c r="I10" s="145" t="s">
        <v>92</v>
      </c>
      <c r="J10" s="111"/>
      <c r="K10" s="111"/>
      <c r="L10" s="111"/>
      <c r="M10" s="111"/>
      <c r="N10" s="99"/>
      <c r="O10" s="111"/>
      <c r="P10" s="146"/>
      <c r="Q10" s="146"/>
      <c r="R10" s="146"/>
      <c r="S10" s="146"/>
    </row>
    <row r="11" spans="1:28" s="1648" customFormat="1" ht="0.75" customHeight="1">
      <c r="A11" s="668"/>
      <c r="B11" s="352"/>
      <c r="C11" s="668"/>
      <c r="D11" s="92"/>
      <c r="E11" s="696"/>
      <c r="F11" s="696"/>
      <c r="G11" s="101"/>
      <c r="H11" s="101"/>
      <c r="I11" s="103"/>
      <c r="J11" s="168" t="s">
        <v>93</v>
      </c>
      <c r="K11" s="84"/>
      <c r="L11" s="84"/>
      <c r="M11" s="84" t="s">
        <v>94</v>
      </c>
      <c r="N11" s="148" t="s">
        <v>95</v>
      </c>
      <c r="O11" s="84" t="s">
        <v>96</v>
      </c>
      <c r="P11" s="147"/>
      <c r="Q11" s="147"/>
      <c r="R11" s="147"/>
      <c r="S11" s="147"/>
    </row>
    <row r="12" spans="1:28" s="1648" customFormat="1" ht="14.25" customHeight="1">
      <c r="A12" s="1992">
        <v>1</v>
      </c>
      <c r="B12" s="352"/>
      <c r="C12" s="668"/>
      <c r="D12" s="688"/>
      <c r="E12" s="141">
        <f>A12</f>
        <v>1</v>
      </c>
      <c r="F12" s="708" t="s">
        <v>97</v>
      </c>
      <c r="G12" s="467" t="str">
        <f>"Территория "&amp;E12</f>
        <v>Территория 1</v>
      </c>
      <c r="H12" s="698"/>
      <c r="I12" s="698"/>
      <c r="J12" s="695"/>
      <c r="K12" s="428"/>
      <c r="L12" s="428"/>
      <c r="M12" s="428"/>
      <c r="N12" s="148"/>
      <c r="O12" s="428"/>
      <c r="P12" s="147"/>
      <c r="Q12" s="147"/>
      <c r="R12" s="147"/>
      <c r="S12" s="147"/>
    </row>
    <row r="13" spans="1:28" s="1969" customFormat="1" ht="15" customHeight="1">
      <c r="A13" s="1992"/>
      <c r="B13" s="352">
        <v>1</v>
      </c>
      <c r="C13" s="352"/>
      <c r="D13" s="706"/>
      <c r="E13" s="687" t="str">
        <f>A12&amp;"."&amp;B13</f>
        <v>1.1</v>
      </c>
      <c r="F13" s="701" t="s">
        <v>98</v>
      </c>
      <c r="G13" s="699" t="s">
        <v>99</v>
      </c>
      <c r="H13" s="699" t="s">
        <v>99</v>
      </c>
      <c r="I13" s="697" t="s">
        <v>100</v>
      </c>
      <c r="J13" s="428" t="e">
        <f ca="1">MERGEVALUE(G13)</f>
        <v>#NAME?</v>
      </c>
      <c r="K13" s="439"/>
      <c r="L13" s="439"/>
      <c r="M13" s="428" t="str">
        <f t="array" ref="M13">IF(ISERROR(MATCH(MID(N13,1,250),MID(note_ter,1,250),0)),"n","y")</f>
        <v>n</v>
      </c>
      <c r="N13" s="439"/>
      <c r="O13" s="428" t="str">
        <f>H13&amp;"("&amp;I13&amp;")"</f>
        <v>Город Астрахань(12701000)</v>
      </c>
      <c r="P13" s="352"/>
      <c r="Q13" s="352"/>
      <c r="R13" s="354"/>
      <c r="S13" s="352"/>
      <c r="T13" s="352"/>
      <c r="U13" s="352"/>
      <c r="V13" s="356"/>
      <c r="W13" s="356"/>
      <c r="X13" s="353"/>
      <c r="Y13" s="353"/>
      <c r="Z13" s="353"/>
      <c r="AA13" s="353"/>
      <c r="AB13" s="353"/>
    </row>
    <row r="14" spans="1:28" s="1969" customFormat="1" ht="15" customHeight="1">
      <c r="A14" s="1992"/>
      <c r="B14" s="352"/>
      <c r="C14" s="347"/>
      <c r="D14" s="707"/>
      <c r="E14" s="355"/>
      <c r="F14" s="105"/>
      <c r="G14" s="350" t="s">
        <v>101</v>
      </c>
      <c r="H14" s="112"/>
      <c r="I14" s="358"/>
      <c r="J14" s="439"/>
      <c r="K14" s="439"/>
      <c r="L14" s="439"/>
      <c r="M14" s="439"/>
      <c r="N14" s="428"/>
      <c r="O14" s="439"/>
      <c r="P14" s="352"/>
      <c r="Q14" s="352"/>
      <c r="R14" s="354"/>
      <c r="S14" s="352"/>
      <c r="T14" s="352"/>
      <c r="U14" s="352"/>
      <c r="V14" s="356"/>
      <c r="W14" s="356"/>
      <c r="X14" s="353"/>
      <c r="Y14" s="353"/>
      <c r="Z14" s="353"/>
      <c r="AA14" s="353"/>
      <c r="AB14" s="353"/>
    </row>
    <row r="15" spans="1:28" s="1648" customFormat="1" ht="14.25" customHeight="1">
      <c r="A15" s="668"/>
      <c r="B15" s="352"/>
      <c r="C15" s="668"/>
      <c r="D15" s="688"/>
      <c r="E15" s="700"/>
      <c r="F15" s="106"/>
      <c r="G15" s="351" t="s">
        <v>102</v>
      </c>
      <c r="H15" s="106"/>
      <c r="I15" s="107"/>
      <c r="J15" s="168"/>
      <c r="K15" s="84"/>
      <c r="L15" s="84"/>
      <c r="M15" s="84"/>
      <c r="N15" s="148" t="s">
        <v>103</v>
      </c>
      <c r="O15" s="84"/>
      <c r="P15" s="147"/>
      <c r="Q15" s="147"/>
      <c r="R15" s="147"/>
      <c r="S15" s="147"/>
    </row>
    <row r="16" spans="1:28" s="1648" customFormat="1" ht="21" customHeight="1">
      <c r="A16" s="668"/>
      <c r="B16" s="352"/>
      <c r="C16" s="668"/>
      <c r="D16" s="93"/>
      <c r="E16" s="108"/>
      <c r="F16" s="108"/>
      <c r="G16" s="108"/>
      <c r="H16" s="108"/>
      <c r="I16" s="108"/>
      <c r="J16" s="84"/>
      <c r="K16" s="84"/>
      <c r="L16" s="84"/>
      <c r="M16" s="84"/>
      <c r="N16" s="148"/>
      <c r="O16" s="84"/>
      <c r="P16" s="147"/>
      <c r="Q16" s="147"/>
      <c r="R16" s="147"/>
      <c r="S16" s="147"/>
    </row>
    <row r="17" spans="1:19" s="1648" customFormat="1" ht="14.25" customHeight="1">
      <c r="A17" s="668"/>
      <c r="B17" s="352"/>
      <c r="C17" s="668"/>
      <c r="D17" s="93"/>
      <c r="E17" s="22"/>
      <c r="F17" s="668"/>
      <c r="G17" s="22"/>
      <c r="H17" s="22"/>
      <c r="I17" s="22"/>
      <c r="J17" s="84"/>
      <c r="K17" s="84"/>
      <c r="L17" s="84"/>
      <c r="M17" s="84"/>
      <c r="N17" s="148"/>
      <c r="O17" s="84"/>
      <c r="P17" s="147"/>
      <c r="Q17" s="147"/>
      <c r="R17" s="147"/>
      <c r="S17" s="147"/>
    </row>
    <row r="18" spans="1:19" s="1648" customFormat="1" ht="0.75" customHeight="1">
      <c r="A18" s="668"/>
      <c r="B18" s="352"/>
      <c r="C18" s="668"/>
      <c r="D18" s="93"/>
      <c r="E18" s="22"/>
      <c r="F18" s="668"/>
      <c r="G18" s="22"/>
      <c r="H18" s="22"/>
      <c r="I18" s="22"/>
      <c r="J18" s="84"/>
      <c r="K18" s="84"/>
      <c r="L18" s="84"/>
      <c r="M18" s="84"/>
      <c r="N18" s="148"/>
      <c r="O18" s="84"/>
      <c r="P18" s="147"/>
      <c r="Q18" s="147"/>
      <c r="R18" s="147"/>
      <c r="S18" s="147"/>
    </row>
    <row r="19" spans="1:19" s="1717" customFormat="1" ht="10.5" customHeight="1">
      <c r="B19" s="739"/>
      <c r="D19" s="110"/>
      <c r="J19" s="84"/>
      <c r="K19" s="84"/>
      <c r="L19" s="84"/>
      <c r="M19" s="84"/>
      <c r="N19" s="148"/>
      <c r="O19" s="84"/>
      <c r="P19" s="147"/>
      <c r="Q19" s="147"/>
      <c r="R19" s="147"/>
      <c r="S19" s="147"/>
    </row>
    <row r="20" spans="1:19" s="1717" customFormat="1" ht="10.5" customHeight="1">
      <c r="B20" s="739"/>
      <c r="D20" s="110"/>
      <c r="J20" s="84"/>
      <c r="K20" s="84"/>
      <c r="L20" s="84"/>
      <c r="M20" s="84"/>
      <c r="N20" s="148"/>
      <c r="O20" s="84"/>
      <c r="P20" s="147"/>
      <c r="Q20" s="147"/>
      <c r="R20" s="147"/>
      <c r="S20" s="147"/>
    </row>
    <row r="24" spans="1:19" ht="14.25" customHeight="1">
      <c r="H24" s="5"/>
    </row>
    <row r="28" spans="1:19" ht="14.25" customHeight="1">
      <c r="J28" s="22"/>
      <c r="K28" s="22"/>
      <c r="L28" s="22"/>
    </row>
  </sheetData>
  <sheetProtection formatColumns="0" formatRows="0" insertRows="0" deleteColumns="0" deleteRows="0" sort="0" autoFilter="0"/>
  <mergeCells count="4">
    <mergeCell ref="A12:A14"/>
    <mergeCell ref="E4:I4"/>
    <mergeCell ref="E8:G8"/>
    <mergeCell ref="H8:I8"/>
  </mergeCells>
  <dataValidations count="1">
    <dataValidation type="textLength" operator="lessThanOrEqual" allowBlank="1" showInputMessage="1" showErrorMessage="1" errorTitle="Ошибка" error="Допускается ввод не более 900 символов!" sqref="G12">
      <formula1>900</formula1>
    </dataValidation>
  </dataValidations>
  <printOptions horizontalCentered="1" verticalCentered="1"/>
  <pageMargins left="0" right="0" top="0" bottom="0" header="0" footer="0.79"/>
  <pageSetup paperSize="9" scale="93" fitToHeight="0" orientation="portrait" blackAndWhite="1" r:id="rId1"/>
  <headerFooter>
    <oddHeader>&amp;L&amp;C&amp;R</oddHeader>
    <oddFooter>&amp;L&amp;C&amp;R</oddFooter>
    <evenHeader>&amp;L&amp;C&amp;R</evenHeader>
    <evenFooter>&amp;L&amp;C&amp;R</evenFooter>
  </headerFooter>
  <drawing r:id="rId2"/>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C99"/>
  </sheetPr>
  <dimension ref="A1"/>
  <sheetViews>
    <sheetView showGridLines="0" workbookViewId="0"/>
  </sheetViews>
  <sheetFormatPr defaultRowHeight="11.25" customHeight="1"/>
  <sheetData/>
  <sheetProtection insertRows="0" deleteColumns="0" deleteRows="0" sort="0" autoFilter="0"/>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2" tint="-9.9978637043366805E-2"/>
  </sheetPr>
  <dimension ref="A1:U29"/>
  <sheetViews>
    <sheetView showGridLines="0" topLeftCell="C4" zoomScale="90" workbookViewId="0"/>
  </sheetViews>
  <sheetFormatPr defaultColWidth="10.5703125" defaultRowHeight="15" customHeight="1"/>
  <cols>
    <col min="1" max="1" width="9.140625" style="1721" hidden="1" customWidth="1"/>
    <col min="2" max="2" width="9.140625" style="1829" hidden="1" customWidth="1"/>
    <col min="3" max="3" width="4.7109375" style="1701" customWidth="1"/>
    <col min="4" max="4" width="6.28515625" style="1829" customWidth="1"/>
    <col min="5" max="5" width="47.85546875" style="1829" customWidth="1"/>
    <col min="6" max="6" width="9.5703125" style="1829" customWidth="1"/>
    <col min="7" max="7" width="25.7109375" style="1829" hidden="1" customWidth="1"/>
    <col min="8" max="8" width="34" style="1829" hidden="1" customWidth="1"/>
    <col min="9" max="9" width="25.7109375" style="1829" customWidth="1"/>
    <col min="10" max="10" width="34" style="1829" customWidth="1"/>
    <col min="11" max="11" width="50.85546875" style="1742" customWidth="1"/>
    <col min="12" max="20" width="10.5703125" style="1829"/>
    <col min="21" max="21" width="10.5703125" style="1700"/>
  </cols>
  <sheetData>
    <row r="1" spans="1:21" s="1742" customFormat="1" ht="15" hidden="1" customHeight="1">
      <c r="C1" s="587"/>
      <c r="G1" s="352">
        <v>4</v>
      </c>
      <c r="I1" s="352">
        <v>4</v>
      </c>
      <c r="U1" s="354"/>
    </row>
    <row r="2" spans="1:21" s="1829" customFormat="1" ht="15" hidden="1" customHeight="1">
      <c r="A2" s="288"/>
      <c r="C2" s="104"/>
      <c r="D2" s="270"/>
      <c r="E2" s="588"/>
      <c r="F2" s="450"/>
      <c r="G2" s="537"/>
      <c r="H2" s="537"/>
      <c r="I2" s="537"/>
      <c r="J2" s="537"/>
      <c r="U2" s="589"/>
    </row>
    <row r="3" spans="1:21" s="1742" customFormat="1" ht="15" hidden="1" customHeight="1">
      <c r="C3" s="587"/>
      <c r="U3" s="354"/>
    </row>
    <row r="4" spans="1:21" ht="15" customHeight="1">
      <c r="C4" s="104"/>
      <c r="D4" s="437"/>
      <c r="E4" s="437"/>
      <c r="F4" s="437"/>
      <c r="G4" s="437"/>
      <c r="H4" s="437"/>
      <c r="I4" s="437"/>
      <c r="J4" s="437"/>
    </row>
    <row r="5" spans="1:21" ht="63" customHeight="1">
      <c r="C5" s="104"/>
      <c r="D5" s="2000" t="s">
        <v>1600</v>
      </c>
      <c r="E5" s="2001"/>
      <c r="F5" s="2001"/>
      <c r="G5" s="2001"/>
      <c r="H5" s="2001"/>
      <c r="I5" s="2001"/>
      <c r="J5" s="2002"/>
    </row>
    <row r="6" spans="1:21" ht="15" customHeight="1">
      <c r="C6" s="104"/>
      <c r="D6" s="2112" t="str">
        <f>IF(org=0,"Не определено",org)</f>
        <v>МУП г. Астрахани "Коммунэнерго"</v>
      </c>
      <c r="E6" s="2113"/>
      <c r="F6" s="2113"/>
      <c r="G6" s="2113"/>
      <c r="H6" s="2113"/>
      <c r="I6" s="2113"/>
      <c r="J6" s="2114"/>
      <c r="K6" s="464"/>
    </row>
    <row r="7" spans="1:21" ht="15" customHeight="1">
      <c r="C7" s="104"/>
      <c r="D7" s="664"/>
      <c r="E7" s="437"/>
      <c r="F7" s="437"/>
      <c r="G7" s="464">
        <v>22</v>
      </c>
      <c r="I7" s="464">
        <v>1</v>
      </c>
      <c r="J7" s="664"/>
    </row>
    <row r="8" spans="1:21" s="1829" customFormat="1" ht="0.75" customHeight="1">
      <c r="A8" s="669"/>
      <c r="C8" s="104"/>
      <c r="D8" s="437"/>
      <c r="E8" s="437"/>
      <c r="F8" s="437"/>
      <c r="G8" s="464"/>
      <c r="H8" s="664"/>
      <c r="I8" s="464" t="s">
        <v>117</v>
      </c>
      <c r="J8" s="664"/>
      <c r="K8" s="352"/>
      <c r="U8" s="590"/>
    </row>
    <row r="9" spans="1:21" ht="15" customHeight="1">
      <c r="C9" s="104"/>
      <c r="D9" s="624"/>
      <c r="E9" s="2295" t="s">
        <v>104</v>
      </c>
      <c r="F9" s="2296"/>
      <c r="G9" s="2293" t="str">
        <f>IF(G8="","",INDEX(DIFFERENTIATION_UNMERGE_VD,MATCH(G8,DIFFERENTIATION_ID_DIFF,0)))</f>
        <v/>
      </c>
      <c r="H9" s="2294"/>
      <c r="I9" s="2293" t="str">
        <f>IF(I8="","",INDEX(DIFFERENTIATION_UNMERGE_VD,MATCH(I8,DIFFERENTIATION_ID_DIFF,0)))</f>
        <v>Горячее водоснабжение</v>
      </c>
      <c r="J9" s="2294"/>
      <c r="K9" s="2066" t="s">
        <v>293</v>
      </c>
    </row>
    <row r="10" spans="1:21" s="1829" customFormat="1" ht="15" customHeight="1">
      <c r="A10" s="669"/>
      <c r="C10" s="104"/>
      <c r="D10" s="624"/>
      <c r="E10" s="2295" t="s">
        <v>1422</v>
      </c>
      <c r="F10" s="2296"/>
      <c r="G10" s="2293" t="str">
        <f>IF(G8="","",INDEX(DIFFERENTIATION_UNMERGE_AREA,MATCH(G8,DIFFERENTIATION_ID_DIFF,0)))</f>
        <v/>
      </c>
      <c r="H10" s="2294"/>
      <c r="I10" s="2293" t="str">
        <f>IF(I8="","",INDEX(DIFFERENTIATION_UNMERGE_AREA,MATCH(I8,DIFFERENTIATION_ID_DIFF,0)))</f>
        <v>без дифференциации</v>
      </c>
      <c r="J10" s="2294"/>
      <c r="K10" s="2071"/>
      <c r="U10" s="590"/>
    </row>
    <row r="11" spans="1:21" s="1829" customFormat="1" ht="15" customHeight="1">
      <c r="A11" s="669"/>
      <c r="C11" s="104"/>
      <c r="D11" s="624"/>
      <c r="E11" s="2295" t="s">
        <v>1423</v>
      </c>
      <c r="F11" s="2296"/>
      <c r="G11" s="2293" t="str">
        <f>IF(G8="","",INDEX(DIFFERENTIATION_UNMERGE_SYSTEM,MATCH(G8,DIFFERENTIATION_ID_DIFF,0)))</f>
        <v/>
      </c>
      <c r="H11" s="2294"/>
      <c r="I11" s="2293" t="str">
        <f>IF(I8="","",INDEX(DIFFERENTIATION_UNMERGE_SYSTEM,MATCH(I8,DIFFERENTIATION_ID_DIFF,0)))</f>
        <v>Котельная № Т-29</v>
      </c>
      <c r="J11" s="2294"/>
      <c r="K11" s="2071"/>
      <c r="U11" s="590"/>
    </row>
    <row r="12" spans="1:21" s="1829" customFormat="1" ht="15" customHeight="1">
      <c r="A12" s="669"/>
      <c r="C12" s="104"/>
      <c r="D12" s="2297" t="s">
        <v>292</v>
      </c>
      <c r="E12" s="2298"/>
      <c r="F12" s="2298"/>
      <c r="G12" s="783"/>
      <c r="H12" s="783"/>
      <c r="I12" s="783"/>
      <c r="J12" s="783"/>
      <c r="K12" s="2071"/>
      <c r="U12" s="590"/>
    </row>
    <row r="13" spans="1:21" ht="33.75" customHeight="1">
      <c r="C13" s="104"/>
      <c r="D13" s="709" t="s">
        <v>87</v>
      </c>
      <c r="E13" s="712" t="s">
        <v>294</v>
      </c>
      <c r="F13" s="712" t="s">
        <v>1601</v>
      </c>
      <c r="G13" s="713" t="s">
        <v>295</v>
      </c>
      <c r="H13" s="712" t="s">
        <v>384</v>
      </c>
      <c r="I13" s="713" t="s">
        <v>295</v>
      </c>
      <c r="J13" s="712" t="s">
        <v>384</v>
      </c>
      <c r="K13" s="2122"/>
    </row>
    <row r="14" spans="1:21" ht="15" hidden="1" customHeight="1">
      <c r="C14" s="104"/>
      <c r="D14" s="518" t="s">
        <v>108</v>
      </c>
      <c r="E14" s="518" t="s">
        <v>109</v>
      </c>
      <c r="F14" s="518" t="s">
        <v>89</v>
      </c>
      <c r="G14" s="574" t="str">
        <f>G1&amp;".1"</f>
        <v>4.1</v>
      </c>
      <c r="H14" s="574"/>
      <c r="I14" s="574" t="str">
        <f>I1&amp;".1"</f>
        <v>4.1</v>
      </c>
      <c r="J14" s="574"/>
      <c r="K14" s="207"/>
    </row>
    <row r="15" spans="1:21" ht="22.5" hidden="1" customHeight="1">
      <c r="A15" s="433"/>
      <c r="C15" s="454"/>
      <c r="D15" s="449">
        <v>1</v>
      </c>
      <c r="E15" s="592" t="s">
        <v>1602</v>
      </c>
      <c r="F15" s="449" t="s">
        <v>1603</v>
      </c>
      <c r="G15" s="593"/>
      <c r="H15" s="593"/>
      <c r="I15" s="593"/>
      <c r="J15" s="593"/>
      <c r="K15" s="207" t="s">
        <v>1604</v>
      </c>
    </row>
    <row r="16" spans="1:21" ht="22.5" hidden="1" customHeight="1">
      <c r="A16" s="433"/>
      <c r="C16" s="454"/>
      <c r="D16" s="449">
        <v>2</v>
      </c>
      <c r="E16" s="198" t="s">
        <v>1605</v>
      </c>
      <c r="F16" s="449" t="s">
        <v>1606</v>
      </c>
      <c r="G16" s="593"/>
      <c r="H16" s="593"/>
      <c r="I16" s="593"/>
      <c r="J16" s="593"/>
      <c r="K16" s="207" t="s">
        <v>1607</v>
      </c>
    </row>
    <row r="17" spans="1:11" ht="123.75" hidden="1" customHeight="1">
      <c r="A17" s="433"/>
      <c r="C17" s="454"/>
      <c r="D17" s="449">
        <v>3</v>
      </c>
      <c r="E17" s="198" t="s">
        <v>1608</v>
      </c>
      <c r="F17" s="449" t="s">
        <v>298</v>
      </c>
      <c r="G17" s="593"/>
      <c r="H17" s="593"/>
      <c r="I17" s="593"/>
      <c r="J17" s="593"/>
      <c r="K17" s="207" t="s">
        <v>1609</v>
      </c>
    </row>
    <row r="18" spans="1:11" ht="45" customHeight="1">
      <c r="A18" s="433"/>
      <c r="C18" s="454"/>
      <c r="D18" s="449">
        <v>4</v>
      </c>
      <c r="E18" s="198" t="s">
        <v>1610</v>
      </c>
      <c r="F18" s="449" t="s">
        <v>298</v>
      </c>
      <c r="G18" s="714" t="s">
        <v>298</v>
      </c>
      <c r="H18" s="715" t="s">
        <v>298</v>
      </c>
      <c r="I18" s="449" t="s">
        <v>298</v>
      </c>
      <c r="J18" s="505" t="s">
        <v>298</v>
      </c>
      <c r="K18" s="207" t="s">
        <v>1611</v>
      </c>
    </row>
    <row r="19" spans="1:11" ht="33.75" customHeight="1">
      <c r="A19" s="433"/>
      <c r="C19" s="454"/>
      <c r="D19" s="466" t="s">
        <v>613</v>
      </c>
      <c r="E19" s="486" t="s">
        <v>1612</v>
      </c>
      <c r="F19" s="449" t="s">
        <v>1613</v>
      </c>
      <c r="G19" s="721"/>
      <c r="H19" s="42"/>
      <c r="I19" s="721"/>
      <c r="J19" s="722"/>
      <c r="K19" s="594"/>
    </row>
    <row r="20" spans="1:11" ht="33.75" customHeight="1">
      <c r="A20" s="433"/>
      <c r="C20" s="454"/>
      <c r="D20" s="466" t="s">
        <v>632</v>
      </c>
      <c r="E20" s="486" t="s">
        <v>1614</v>
      </c>
      <c r="F20" s="449" t="s">
        <v>1615</v>
      </c>
      <c r="G20" s="721"/>
      <c r="H20" s="42"/>
      <c r="I20" s="721"/>
      <c r="J20" s="42"/>
      <c r="K20" s="594"/>
    </row>
    <row r="21" spans="1:11" ht="45" customHeight="1">
      <c r="A21" s="433"/>
      <c r="C21" s="454"/>
      <c r="D21" s="466" t="s">
        <v>1616</v>
      </c>
      <c r="E21" s="486" t="s">
        <v>1617</v>
      </c>
      <c r="F21" s="449" t="s">
        <v>1618</v>
      </c>
      <c r="G21" s="595"/>
      <c r="H21" s="42"/>
      <c r="I21" s="595"/>
      <c r="J21" s="42"/>
      <c r="K21" s="594"/>
    </row>
    <row r="22" spans="1:11" ht="67.5" hidden="1" customHeight="1">
      <c r="A22" s="433"/>
      <c r="C22" s="454"/>
      <c r="D22" s="449">
        <v>5</v>
      </c>
      <c r="E22" s="198" t="s">
        <v>1619</v>
      </c>
      <c r="F22" s="449" t="s">
        <v>1620</v>
      </c>
      <c r="G22" s="596"/>
      <c r="H22" s="597"/>
      <c r="I22" s="596"/>
      <c r="J22" s="597"/>
      <c r="K22" s="207" t="s">
        <v>1621</v>
      </c>
    </row>
    <row r="23" spans="1:11" ht="33.75" hidden="1" customHeight="1">
      <c r="C23" s="384"/>
      <c r="D23" s="449">
        <v>6</v>
      </c>
      <c r="E23" s="198" t="s">
        <v>1622</v>
      </c>
      <c r="F23" s="449" t="s">
        <v>1623</v>
      </c>
      <c r="G23" s="596"/>
      <c r="H23" s="596"/>
      <c r="I23" s="596"/>
      <c r="J23" s="596"/>
      <c r="K23" s="207" t="s">
        <v>1624</v>
      </c>
    </row>
    <row r="29" spans="1:11" ht="15" customHeight="1">
      <c r="J29" s="723"/>
    </row>
  </sheetData>
  <sheetProtection formatColumns="0" formatRows="0" insertRows="0" deleteColumns="0" deleteRows="0" sort="0" autoFilter="0"/>
  <mergeCells count="13">
    <mergeCell ref="D5:J5"/>
    <mergeCell ref="D6:J6"/>
    <mergeCell ref="K9:K13"/>
    <mergeCell ref="I9:J9"/>
    <mergeCell ref="E9:F9"/>
    <mergeCell ref="E10:F10"/>
    <mergeCell ref="E11:F11"/>
    <mergeCell ref="I10:J10"/>
    <mergeCell ref="I11:J11"/>
    <mergeCell ref="G9:H9"/>
    <mergeCell ref="G10:H10"/>
    <mergeCell ref="G11:H11"/>
    <mergeCell ref="D12:F12"/>
  </mergeCells>
  <dataValidations count="4">
    <dataValidation type="decimal" allowBlank="1" showErrorMessage="1" errorTitle="Ошибка" error="Допускается ввод только неотрицательных чисел!" sqref="G21 I21">
      <formula1>0</formula1>
      <formula2>9.99999999999999E+23</formula2>
    </dataValidation>
    <dataValidation allowBlank="1" showInputMessage="1" showErrorMessage="1" prompt="Количество поданных заявок на подключение (технологическое присоединение) к системе теплоснабжения в течение квартала, шт." sqref="E15 E13"/>
    <dataValidation type="whole" allowBlank="1" showErrorMessage="1" errorTitle="Ошибка" error="Допускается ввод только неотрицательных целых чисел!" sqref="G19:G20 I19:I20">
      <formula1>0</formula1>
      <formula2>9.99999999999999E+23</formula2>
    </dataValidation>
    <dataValidation type="textLength" operator="lessThanOrEqual" allowBlank="1" showInputMessage="1" showErrorMessage="1" errorTitle="Ошибка" error="Допускается ввод не более 900 символов!" sqref="H19:H21 J19:J21">
      <formula1>900</formula1>
    </dataValidation>
  </dataValidations>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2" tint="-9.9978637043366805E-2"/>
  </sheetPr>
  <dimension ref="A1:R22"/>
  <sheetViews>
    <sheetView showGridLines="0" topLeftCell="C4" zoomScale="90" workbookViewId="0"/>
  </sheetViews>
  <sheetFormatPr defaultColWidth="10.5703125" defaultRowHeight="15" customHeight="1"/>
  <cols>
    <col min="1" max="1" width="9.140625" style="1721" hidden="1" customWidth="1"/>
    <col min="2" max="2" width="9.140625" style="1829" hidden="1" customWidth="1"/>
    <col min="3" max="3" width="4.7109375" style="1701" customWidth="1"/>
    <col min="4" max="4" width="6.28515625" style="1829" customWidth="1"/>
    <col min="5" max="5" width="36.7109375" style="1829" customWidth="1"/>
    <col min="6" max="6" width="9.5703125" style="1829" customWidth="1"/>
    <col min="7" max="7" width="42.42578125" style="1829" hidden="1" customWidth="1"/>
    <col min="8" max="8" width="40.7109375" style="1829" customWidth="1"/>
    <col min="9" max="9" width="93.42578125" style="1742" customWidth="1"/>
    <col min="10" max="17" width="10.5703125" style="1829"/>
    <col min="18" max="18" width="10.5703125" style="1700"/>
  </cols>
  <sheetData>
    <row r="1" spans="1:18" s="1742" customFormat="1" ht="15" hidden="1" customHeight="1">
      <c r="C1" s="587"/>
      <c r="H1" s="352">
        <v>4</v>
      </c>
      <c r="R1" s="354"/>
    </row>
    <row r="2" spans="1:18" ht="22.5" hidden="1" customHeight="1">
      <c r="D2" s="466"/>
      <c r="E2" s="578"/>
      <c r="F2" s="1622" t="str">
        <f>IF(TEMPLATE_SPHERE="HEAT","Гкал/час","тыс. куб. м/сутки")</f>
        <v>тыс. куб. м/сутки</v>
      </c>
      <c r="G2" s="595"/>
      <c r="H2" s="595"/>
      <c r="I2" s="207"/>
    </row>
    <row r="3" spans="1:18" s="1742" customFormat="1" ht="15" hidden="1" customHeight="1">
      <c r="C3" s="587"/>
      <c r="R3" s="354"/>
    </row>
    <row r="4" spans="1:18" ht="15" customHeight="1">
      <c r="C4" s="104"/>
      <c r="D4" s="437"/>
      <c r="E4" s="437"/>
      <c r="F4" s="437"/>
      <c r="G4" s="437"/>
      <c r="H4" s="437"/>
    </row>
    <row r="5" spans="1:18" ht="47.25" customHeight="1">
      <c r="C5" s="104"/>
      <c r="D5" s="2299" t="str">
        <f>TP_NAME_FORM</f>
        <v>Форма 10. Информация о наличии (об отсутствии) технической возможности подключения (технологического присоединения) к централизованной системе  горячего водоснабжения, а также о принятии и рассмотрении заявлений о заключении договоров о подключении (технологическом присоединении) к централизованной системе  горячего водоснабжения</v>
      </c>
      <c r="E5" s="2299"/>
      <c r="F5" s="2299"/>
      <c r="G5" s="2299"/>
      <c r="H5" s="2299"/>
      <c r="I5" s="464"/>
    </row>
    <row r="6" spans="1:18" ht="15" customHeight="1">
      <c r="C6" s="104"/>
      <c r="D6" s="2099" t="str">
        <f>IF(org=0,"Не определено",org)</f>
        <v>МУП г. Астрахани "Коммунэнерго"</v>
      </c>
      <c r="E6" s="2099"/>
      <c r="F6" s="2099"/>
      <c r="G6" s="2099"/>
      <c r="H6" s="2099"/>
      <c r="I6" s="464"/>
    </row>
    <row r="7" spans="1:18" s="1829" customFormat="1" ht="15" customHeight="1">
      <c r="A7" s="669"/>
      <c r="C7" s="104"/>
      <c r="D7" s="591"/>
      <c r="E7" s="591"/>
      <c r="F7" s="591"/>
      <c r="G7" s="591"/>
      <c r="H7" s="664"/>
      <c r="I7" s="464"/>
      <c r="R7" s="590"/>
    </row>
    <row r="8" spans="1:18" ht="0.75" customHeight="1">
      <c r="C8" s="104"/>
      <c r="D8" s="437"/>
      <c r="E8" s="437"/>
      <c r="F8" s="437"/>
      <c r="G8" s="437"/>
      <c r="H8" s="464" t="s">
        <v>117</v>
      </c>
    </row>
    <row r="9" spans="1:18" ht="15" customHeight="1">
      <c r="C9" s="104"/>
      <c r="D9" s="624"/>
      <c r="E9" s="2295" t="s">
        <v>104</v>
      </c>
      <c r="F9" s="2296"/>
      <c r="G9" s="720" t="str">
        <f>IF(G8="","",INDEX(DIFFERENTIATION_UNMERGE_VD,MATCH(G8,DIFFERENTIATION_ID_DIFF,0)))</f>
        <v/>
      </c>
      <c r="H9" s="720" t="str">
        <f>IF(H8="","",INDEX(DIFFERENTIATION_UNMERGE_VD,MATCH(H8,DIFFERENTIATION_ID_DIFF,0)))</f>
        <v>Горячее водоснабжение</v>
      </c>
      <c r="I9" s="2007" t="s">
        <v>293</v>
      </c>
    </row>
    <row r="10" spans="1:18" s="1829" customFormat="1" ht="15" customHeight="1">
      <c r="A10" s="669"/>
      <c r="C10" s="104"/>
      <c r="D10" s="624"/>
      <c r="E10" s="2295" t="s">
        <v>1422</v>
      </c>
      <c r="F10" s="2296"/>
      <c r="G10" s="720" t="str">
        <f>IF(G8="","",INDEX(DIFFERENTIATION_UNMERGE_AREA,MATCH(G8,DIFFERENTIATION_ID_DIFF,0)))</f>
        <v/>
      </c>
      <c r="H10" s="720" t="str">
        <f>IF(H8="","",INDEX(DIFFERENTIATION_UNMERGE_AREA,MATCH(H8,DIFFERENTIATION_ID_DIFF,0)))</f>
        <v>без дифференциации</v>
      </c>
      <c r="I10" s="2007"/>
      <c r="R10" s="590"/>
    </row>
    <row r="11" spans="1:18" s="1829" customFormat="1" ht="15" customHeight="1">
      <c r="A11" s="669"/>
      <c r="C11" s="104"/>
      <c r="D11" s="624"/>
      <c r="E11" s="2295" t="s">
        <v>1423</v>
      </c>
      <c r="F11" s="2296"/>
      <c r="G11" s="720" t="str">
        <f>IF(G8="","",INDEX(DIFFERENTIATION_UNMERGE_SYSTEM,MATCH(G8,DIFFERENTIATION_ID_DIFF,0)))</f>
        <v/>
      </c>
      <c r="H11" s="720" t="str">
        <f>IF(H8="","",INDEX(DIFFERENTIATION_UNMERGE_SYSTEM,MATCH(H8,DIFFERENTIATION_ID_DIFF,0)))</f>
        <v>Котельная № Т-29</v>
      </c>
      <c r="I11" s="2007"/>
      <c r="R11" s="590"/>
    </row>
    <row r="12" spans="1:18" s="1829" customFormat="1" ht="15" customHeight="1">
      <c r="A12" s="669"/>
      <c r="C12" s="104"/>
      <c r="D12" s="2297" t="s">
        <v>292</v>
      </c>
      <c r="E12" s="2298"/>
      <c r="F12" s="2298"/>
      <c r="G12" s="783"/>
      <c r="H12" s="783"/>
      <c r="I12" s="2007"/>
      <c r="R12" s="590"/>
    </row>
    <row r="13" spans="1:18" ht="33.75" customHeight="1">
      <c r="C13" s="104"/>
      <c r="D13" s="671" t="s">
        <v>87</v>
      </c>
      <c r="E13" s="670" t="s">
        <v>294</v>
      </c>
      <c r="F13" s="670" t="s">
        <v>1601</v>
      </c>
      <c r="G13" s="713" t="s">
        <v>295</v>
      </c>
      <c r="H13" s="666" t="s">
        <v>295</v>
      </c>
      <c r="I13" s="2007"/>
    </row>
    <row r="14" spans="1:18" ht="15" hidden="1" customHeight="1">
      <c r="C14" s="104"/>
      <c r="D14" s="518" t="s">
        <v>108</v>
      </c>
      <c r="E14" s="518" t="s">
        <v>109</v>
      </c>
      <c r="F14" s="518" t="s">
        <v>89</v>
      </c>
      <c r="G14" s="574" t="str">
        <f>G1&amp;".1"</f>
        <v>.1</v>
      </c>
      <c r="H14" s="574" t="str">
        <f>H1&amp;".1"</f>
        <v>4.1</v>
      </c>
      <c r="I14" s="207"/>
    </row>
    <row r="15" spans="1:18" ht="15" customHeight="1">
      <c r="A15" s="433"/>
      <c r="C15" s="454"/>
      <c r="D15" s="449">
        <v>1</v>
      </c>
      <c r="E15" s="592" t="str">
        <f>TP_P_A</f>
        <v xml:space="preserve">Количество поданных заявлений </v>
      </c>
      <c r="F15" s="449" t="s">
        <v>1625</v>
      </c>
      <c r="G15" s="599"/>
      <c r="H15" s="599"/>
      <c r="I15" s="129" t="str">
        <f>TP_P_NOTE_A</f>
        <v>Указывается количество поданных заявлений о заключении договоров о подключении (технологическом присоединении) к централизованной системе горячего водоснабжения в течение одного квартала.</v>
      </c>
    </row>
    <row r="16" spans="1:18" ht="15" customHeight="1">
      <c r="A16" s="433"/>
      <c r="C16" s="454"/>
      <c r="D16" s="449">
        <v>2</v>
      </c>
      <c r="E16" s="198" t="str">
        <f>TP_P_B</f>
        <v xml:space="preserve">Количество исполненных заявлений </v>
      </c>
      <c r="F16" s="449" t="s">
        <v>1625</v>
      </c>
      <c r="G16" s="599"/>
      <c r="H16" s="599"/>
      <c r="I16" s="129" t="str">
        <f>TP_P_NOTE_B</f>
        <v>Указывается количество исполненных заявлений о заключении договоров о подключении (технологическом присоединении) к централизованной системе горячего водоснабжения в течение одного квартала.</v>
      </c>
    </row>
    <row r="17" spans="1:18" ht="33.75" customHeight="1">
      <c r="A17" s="433"/>
      <c r="C17" s="454"/>
      <c r="D17" s="449">
        <v>3</v>
      </c>
      <c r="E17" s="198" t="str">
        <f>TP_P_V</f>
        <v>Количество заявлений о заключении договоров о подключении (технологическом присоединении)</v>
      </c>
      <c r="F17" s="449" t="s">
        <v>1625</v>
      </c>
      <c r="G17" s="599"/>
      <c r="H17" s="599"/>
      <c r="I17" s="129" t="str">
        <f>TP_P_NOTE_V</f>
        <v>Указывается количество заявлений о заключении договоров о подключении (технологическом присоединении) к централизованной системе горячего водоснабжения, по которым организацией горячего водоснабжения отказано в заключении договора о подключении (технологическом присоединении) к централизованной системе горячего водоснабжения с указанием причин, в течение одного квартала.</v>
      </c>
    </row>
    <row r="18" spans="1:18" ht="22.5" customHeight="1">
      <c r="A18" s="433"/>
      <c r="C18" s="454"/>
      <c r="D18" s="449">
        <v>4</v>
      </c>
      <c r="E18" s="198" t="str">
        <f>TP_P_V_1</f>
        <v>Причины отказа в заключении договора о подключении (технологическом присоединении) к централизованной системе горячего водоснабжения</v>
      </c>
      <c r="F18" s="449" t="s">
        <v>298</v>
      </c>
      <c r="G18" s="600"/>
      <c r="H18" s="600"/>
      <c r="I18" s="743" t="str">
        <f>TP_P_NOTE_V_1</f>
        <v>Указывается текстовое описание причин принятия решений._x000D_
Не заполняется в случае, если решения об отказе в течение отчетного периода не принимались.</v>
      </c>
    </row>
    <row r="19" spans="1:18" ht="22.5" customHeight="1">
      <c r="A19" s="433"/>
      <c r="C19" s="454"/>
      <c r="D19" s="449">
        <v>5</v>
      </c>
      <c r="E19" s="198" t="str">
        <f>TP_P_G</f>
        <v>Наличие свободной мощности (резерва мощности) на соответствующих объектах централизованных систем горячего водоснабжения в течение одного квартала, в том числе:</v>
      </c>
      <c r="F19" s="449" t="str">
        <f>IF(TEMPLATE_SPHERE="HEAT","Гкал/час","тыс. куб. м/сутки")</f>
        <v>тыс. куб. м/сутки</v>
      </c>
      <c r="G19" s="601">
        <f>SUM(G20:G22)</f>
        <v>0</v>
      </c>
      <c r="H19" s="601">
        <f>SUM(H20:H22)</f>
        <v>0</v>
      </c>
      <c r="I19" s="129" t="str">
        <f>TP_P_NOTE_G</f>
        <v>Указывается наличие свободной мощности (резерв мощности) на соответствующих объектах централизованной системы горячего водоснабжения (совокупности централизованных систем горячего водоснабжения) в случае, если для них установлены одинаковые тарифы в сфере горячего водоснабжения.
В случае если регулируемыми организациями оказываются услуги горячего водоснабжения по нескольким технологически не связанным между собой централизованным системам горячего водоснабжения, и если в отношении указанных систем устанавливаются различные тарифы в сфере горячего водоснабжения, то информация раскрывается отдельно по каждой централизованной системе горячего водоснабжения.</v>
      </c>
    </row>
    <row r="20" spans="1:18" ht="15" hidden="1" customHeight="1">
      <c r="D20" s="437" t="s">
        <v>1626</v>
      </c>
      <c r="E20" s="602"/>
      <c r="F20" s="437"/>
      <c r="G20" s="437"/>
      <c r="H20" s="437"/>
      <c r="I20" s="1624"/>
    </row>
    <row r="21" spans="1:18" ht="27.75" customHeight="1">
      <c r="C21" s="384"/>
      <c r="D21" s="466" t="s">
        <v>307</v>
      </c>
      <c r="E21" s="585"/>
      <c r="F21" s="1622" t="str">
        <f>IF(TEMPLATE_SPHERE="HEAT","Гкал/час","тыс. куб. м/сутки")</f>
        <v>тыс. куб. м/сутки</v>
      </c>
      <c r="G21" s="595"/>
      <c r="H21" s="595"/>
      <c r="I21" s="2053" t="str">
        <f>TP_P_NOTE_G_1</f>
        <v>Указывается наличие свободной мощности (резерв мощности) для централизованной системы горячего водоснабжения, тариф для которой не является отличным от тарифов других централизованных систем горячего водоснабжения регулируемой организации.
При использовании регулируемой организацией нескольких централизованных систем горячего водоснабжения информация о наличии свободной мощности (резерве мощности) на соответствующих объектах централизованных систем горячего водоснабжения публикуется в отношении каждой централизованной системы горячего водоснабжения в отдельных строках.</v>
      </c>
    </row>
    <row r="22" spans="1:18" ht="15" customHeight="1">
      <c r="A22" s="433"/>
      <c r="C22" s="433"/>
      <c r="D22" s="271"/>
      <c r="E22" s="507" t="s">
        <v>1627</v>
      </c>
      <c r="F22" s="499"/>
      <c r="G22" s="499"/>
      <c r="H22" s="499"/>
      <c r="I22" s="2055"/>
      <c r="R22" s="433"/>
    </row>
  </sheetData>
  <sheetProtection formatColumns="0" formatRows="0" insertRows="0" deleteColumns="0" deleteRows="0" sort="0" autoFilter="0"/>
  <mergeCells count="8">
    <mergeCell ref="I21:I22"/>
    <mergeCell ref="I9:I13"/>
    <mergeCell ref="D5:H5"/>
    <mergeCell ref="D6:H6"/>
    <mergeCell ref="E9:F9"/>
    <mergeCell ref="E10:F10"/>
    <mergeCell ref="E11:F11"/>
    <mergeCell ref="D12:F12"/>
  </mergeCells>
  <dataValidations count="4">
    <dataValidation type="whole" allowBlank="1" showErrorMessage="1" errorTitle="Ошибка" error="Допускается ввод только неотрицательных целых чисел!" sqref="G15:H17">
      <formula1>0</formula1>
      <formula2>9.99999999999999E+23</formula2>
    </dataValidation>
    <dataValidation type="decimal" allowBlank="1" showErrorMessage="1" errorTitle="Ошибка" error="Допускается ввод только неотрицательных чисел!" sqref="G21:H21 G2:H2">
      <formula1>0</formula1>
      <formula2>9.99999999999999E+23</formula2>
    </dataValidation>
    <dataValidation type="textLength" operator="lessThanOrEqual" allowBlank="1" showInputMessage="1" showErrorMessage="1" errorTitle="Ошибка" error="Допускается ввод не более 900 символов!" sqref="E21 E2 G18:H18">
      <formula1>900</formula1>
    </dataValidation>
    <dataValidation allowBlank="1" showInputMessage="1" showErrorMessage="1" prompt="Количество поданных заявок на подключение (технологическое присоединение) к системе теплоснабжения в течение квартала, шт." sqref="E15 E13"/>
  </dataValidations>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DDD9C4"/>
  </sheetPr>
  <dimension ref="A1:U39"/>
  <sheetViews>
    <sheetView showGridLines="0" topLeftCell="C21" zoomScale="90" workbookViewId="0"/>
  </sheetViews>
  <sheetFormatPr defaultColWidth="10.5703125" defaultRowHeight="15" customHeight="1"/>
  <cols>
    <col min="1" max="1" width="9.140625" style="1721" hidden="1" customWidth="1"/>
    <col min="2" max="2" width="9.140625" style="1829" hidden="1" customWidth="1"/>
    <col min="3" max="3" width="4.7109375" style="1701" customWidth="1"/>
    <col min="4" max="4" width="6.28515625" style="1829" customWidth="1"/>
    <col min="5" max="5" width="36.7109375" style="1829" customWidth="1"/>
    <col min="6" max="6" width="9.5703125" style="1829" customWidth="1"/>
    <col min="7" max="7" width="25.7109375" style="1829" hidden="1" customWidth="1"/>
    <col min="8" max="8" width="33.7109375" style="1829" hidden="1" customWidth="1"/>
    <col min="9" max="9" width="25.7109375" style="1829" customWidth="1"/>
    <col min="10" max="10" width="33.7109375" style="1829" customWidth="1"/>
    <col min="11" max="11" width="93.42578125" style="1742" customWidth="1"/>
    <col min="12" max="20" width="10.5703125" style="1829"/>
    <col min="21" max="21" width="10.5703125" style="1700"/>
  </cols>
  <sheetData>
    <row r="1" spans="1:21" s="1742" customFormat="1" ht="15" hidden="1" customHeight="1">
      <c r="C1" s="587"/>
      <c r="G1" s="352">
        <v>4</v>
      </c>
      <c r="I1" s="352">
        <v>4</v>
      </c>
      <c r="U1" s="354"/>
    </row>
    <row r="2" spans="1:21" s="1742" customFormat="1" ht="15" hidden="1" customHeight="1">
      <c r="C2" s="587"/>
      <c r="U2" s="354"/>
    </row>
    <row r="3" spans="1:21" ht="22.5" hidden="1" customHeight="1">
      <c r="A3" s="433"/>
      <c r="B3" s="2300"/>
      <c r="C3" s="2301"/>
      <c r="D3" s="603" t="str">
        <f>B3&amp;".1"</f>
        <v>.1</v>
      </c>
      <c r="E3" s="604" t="s">
        <v>1628</v>
      </c>
      <c r="F3" s="605" t="s">
        <v>298</v>
      </c>
      <c r="G3" s="600"/>
      <c r="H3" s="336"/>
      <c r="I3" s="600"/>
      <c r="J3" s="336"/>
      <c r="K3" s="207" t="s">
        <v>1629</v>
      </c>
    </row>
    <row r="4" spans="1:21" ht="15" hidden="1" customHeight="1">
      <c r="A4" s="433"/>
      <c r="B4" s="2300"/>
      <c r="C4" s="2301"/>
      <c r="D4" s="603" t="str">
        <f>B3&amp;".2"</f>
        <v>.2</v>
      </c>
      <c r="E4" s="604" t="s">
        <v>1630</v>
      </c>
      <c r="F4" s="605" t="s">
        <v>298</v>
      </c>
      <c r="G4" s="1595" t="s">
        <v>17</v>
      </c>
      <c r="H4" s="336"/>
      <c r="I4" s="1595" t="s">
        <v>17</v>
      </c>
      <c r="J4" s="336"/>
      <c r="K4" s="207" t="s">
        <v>1631</v>
      </c>
    </row>
    <row r="5" spans="1:21" s="1742" customFormat="1" ht="15" hidden="1" customHeight="1">
      <c r="C5" s="587"/>
      <c r="U5" s="354"/>
    </row>
    <row r="6" spans="1:21" ht="22.5" hidden="1" customHeight="1">
      <c r="A6" s="433"/>
      <c r="B6" s="2300"/>
      <c r="C6" s="2301"/>
      <c r="D6" s="603" t="str">
        <f>B6&amp;".1"</f>
        <v>.1</v>
      </c>
      <c r="E6" s="604" t="s">
        <v>1632</v>
      </c>
      <c r="F6" s="605" t="s">
        <v>298</v>
      </c>
      <c r="G6" s="600"/>
      <c r="H6" s="336"/>
      <c r="I6" s="600"/>
      <c r="J6" s="336"/>
      <c r="K6" s="207" t="s">
        <v>1633</v>
      </c>
    </row>
    <row r="7" spans="1:21" ht="15" hidden="1" customHeight="1">
      <c r="A7" s="433"/>
      <c r="B7" s="2300"/>
      <c r="C7" s="2301"/>
      <c r="D7" s="603" t="str">
        <f>B6&amp;".2"</f>
        <v>.2</v>
      </c>
      <c r="E7" s="604" t="s">
        <v>1630</v>
      </c>
      <c r="F7" s="605" t="s">
        <v>298</v>
      </c>
      <c r="G7" s="1595" t="s">
        <v>17</v>
      </c>
      <c r="H7" s="336"/>
      <c r="I7" s="1595" t="s">
        <v>17</v>
      </c>
      <c r="J7" s="336"/>
      <c r="K7" s="207" t="s">
        <v>1631</v>
      </c>
    </row>
    <row r="8" spans="1:21" s="1742" customFormat="1" ht="15" hidden="1" customHeight="1">
      <c r="C8" s="587"/>
      <c r="U8" s="354"/>
    </row>
    <row r="9" spans="1:21" ht="22.5" hidden="1" customHeight="1">
      <c r="A9" s="433"/>
      <c r="B9" s="2300"/>
      <c r="C9" s="2301"/>
      <c r="D9" s="603" t="str">
        <f>B9&amp;".1"</f>
        <v>.1</v>
      </c>
      <c r="E9" s="604" t="s">
        <v>1634</v>
      </c>
      <c r="F9" s="605" t="s">
        <v>298</v>
      </c>
      <c r="G9" s="611" t="s">
        <v>17</v>
      </c>
      <c r="H9" s="336" t="s">
        <v>17</v>
      </c>
      <c r="I9" s="611" t="s">
        <v>17</v>
      </c>
      <c r="J9" s="336" t="s">
        <v>17</v>
      </c>
      <c r="K9" s="207"/>
    </row>
    <row r="10" spans="1:21" ht="15" hidden="1" customHeight="1">
      <c r="A10" s="433"/>
      <c r="B10" s="2300"/>
      <c r="C10" s="2301"/>
      <c r="D10" s="603" t="str">
        <f>B9&amp;".2"</f>
        <v>.2</v>
      </c>
      <c r="E10" s="604" t="s">
        <v>1635</v>
      </c>
      <c r="F10" s="605" t="s">
        <v>298</v>
      </c>
      <c r="G10" s="1589" t="s">
        <v>17</v>
      </c>
      <c r="H10" s="336" t="s">
        <v>17</v>
      </c>
      <c r="I10" s="1589" t="s">
        <v>17</v>
      </c>
      <c r="J10" s="336" t="s">
        <v>17</v>
      </c>
      <c r="K10" s="207" t="s">
        <v>1636</v>
      </c>
    </row>
    <row r="11" spans="1:21" ht="15" hidden="1" customHeight="1">
      <c r="A11" s="433"/>
      <c r="B11" s="2300"/>
      <c r="C11" s="2301"/>
      <c r="D11" s="603" t="str">
        <f>B9&amp;".3"</f>
        <v>.3</v>
      </c>
      <c r="E11" s="604" t="s">
        <v>1637</v>
      </c>
      <c r="F11" s="605" t="s">
        <v>298</v>
      </c>
      <c r="G11" s="1589" t="s">
        <v>17</v>
      </c>
      <c r="H11" s="336" t="s">
        <v>17</v>
      </c>
      <c r="I11" s="1589" t="s">
        <v>17</v>
      </c>
      <c r="J11" s="336" t="s">
        <v>17</v>
      </c>
      <c r="K11" s="207" t="s">
        <v>1638</v>
      </c>
    </row>
    <row r="12" spans="1:21" s="1742" customFormat="1" ht="15" hidden="1" customHeight="1">
      <c r="C12" s="587"/>
      <c r="U12" s="354"/>
    </row>
    <row r="13" spans="1:21" ht="33.75" hidden="1" customHeight="1">
      <c r="A13" s="433"/>
      <c r="B13" s="2300"/>
      <c r="C13" s="2301"/>
      <c r="D13" s="603" t="str">
        <f>B13&amp;".1"</f>
        <v>.1</v>
      </c>
      <c r="E13" s="604" t="s">
        <v>1639</v>
      </c>
      <c r="F13" s="605" t="s">
        <v>298</v>
      </c>
      <c r="G13" s="611" t="s">
        <v>17</v>
      </c>
      <c r="H13" s="336" t="s">
        <v>17</v>
      </c>
      <c r="I13" s="611" t="s">
        <v>17</v>
      </c>
      <c r="J13" s="336" t="s">
        <v>17</v>
      </c>
      <c r="K13" s="207" t="s">
        <v>1640</v>
      </c>
    </row>
    <row r="14" spans="1:21" ht="15" hidden="1" customHeight="1">
      <c r="B14" s="2300"/>
      <c r="C14" s="2301"/>
      <c r="D14" s="603" t="str">
        <f>B13&amp;".2"</f>
        <v>.2</v>
      </c>
      <c r="E14" s="604" t="s">
        <v>1641</v>
      </c>
      <c r="F14" s="605" t="s">
        <v>298</v>
      </c>
      <c r="G14" s="1589" t="s">
        <v>17</v>
      </c>
      <c r="H14" s="336" t="s">
        <v>17</v>
      </c>
      <c r="I14" s="1589" t="s">
        <v>17</v>
      </c>
      <c r="J14" s="336" t="s">
        <v>17</v>
      </c>
      <c r="K14" s="207" t="s">
        <v>1642</v>
      </c>
    </row>
    <row r="15" spans="1:21" s="1742" customFormat="1" ht="15" hidden="1" customHeight="1">
      <c r="C15" s="587"/>
      <c r="U15" s="354"/>
    </row>
    <row r="16" spans="1:21" s="1742" customFormat="1" ht="15" hidden="1" customHeight="1">
      <c r="C16" s="587"/>
      <c r="U16" s="354"/>
    </row>
    <row r="17" spans="1:21" s="1742" customFormat="1" ht="15" hidden="1" customHeight="1">
      <c r="C17" s="587"/>
      <c r="U17" s="354"/>
    </row>
    <row r="18" spans="1:21" s="1742" customFormat="1" ht="15" hidden="1" customHeight="1">
      <c r="C18" s="587"/>
      <c r="U18" s="354"/>
    </row>
    <row r="19" spans="1:21" s="1742" customFormat="1" ht="15" hidden="1" customHeight="1">
      <c r="C19" s="587"/>
      <c r="U19" s="354"/>
    </row>
    <row r="20" spans="1:21" s="1742" customFormat="1" ht="15" hidden="1" customHeight="1">
      <c r="C20" s="587"/>
      <c r="U20" s="354"/>
    </row>
    <row r="21" spans="1:21" ht="15" customHeight="1">
      <c r="C21" s="104"/>
      <c r="D21" s="437"/>
      <c r="E21" s="437"/>
      <c r="F21" s="437"/>
      <c r="G21" s="437"/>
      <c r="H21" s="437"/>
      <c r="I21" s="437"/>
      <c r="J21" s="437"/>
    </row>
    <row r="22" spans="1:21" ht="27.75" customHeight="1">
      <c r="C22" s="104"/>
      <c r="D22" s="2299" t="s">
        <v>1643</v>
      </c>
      <c r="E22" s="2299"/>
      <c r="F22" s="2299"/>
      <c r="G22" s="2299"/>
      <c r="H22" s="2299"/>
      <c r="I22" s="2299"/>
      <c r="J22" s="591"/>
      <c r="K22" s="464"/>
    </row>
    <row r="23" spans="1:21" ht="15" customHeight="1">
      <c r="C23" s="104"/>
      <c r="D23" s="2099" t="str">
        <f>IF(org=0,"Не определено",org)</f>
        <v>МУП г. Астрахани "Коммунэнерго"</v>
      </c>
      <c r="E23" s="2099"/>
      <c r="F23" s="2099"/>
      <c r="G23" s="2099"/>
      <c r="H23" s="2099"/>
      <c r="I23" s="2099"/>
      <c r="J23" s="591"/>
      <c r="K23" s="464"/>
    </row>
    <row r="24" spans="1:21" ht="15" customHeight="1">
      <c r="C24" s="104"/>
      <c r="D24" s="437"/>
      <c r="E24" s="437"/>
      <c r="F24" s="437"/>
      <c r="G24" s="464">
        <v>22</v>
      </c>
      <c r="H24" s="664"/>
      <c r="I24" s="464">
        <v>22</v>
      </c>
      <c r="J24" s="664"/>
    </row>
    <row r="25" spans="1:21" s="1829" customFormat="1" ht="0.75" customHeight="1">
      <c r="A25" s="669"/>
      <c r="C25" s="104"/>
      <c r="D25" s="437"/>
      <c r="E25" s="437"/>
      <c r="F25" s="437"/>
      <c r="G25" s="464"/>
      <c r="H25" s="664"/>
      <c r="I25" s="464" t="s">
        <v>117</v>
      </c>
      <c r="J25" s="664"/>
      <c r="K25" s="352"/>
      <c r="U25" s="590"/>
    </row>
    <row r="26" spans="1:21" ht="15" customHeight="1">
      <c r="C26" s="104"/>
      <c r="D26" s="624"/>
      <c r="E26" s="2295" t="s">
        <v>104</v>
      </c>
      <c r="F26" s="2296"/>
      <c r="G26" s="2293" t="str">
        <f>IF(G25="","",INDEX(DIFFERENTIATION_UNMERGE_VD,MATCH(G25,DIFFERENTIATION_ID_DIFF,0)))</f>
        <v/>
      </c>
      <c r="H26" s="2294"/>
      <c r="I26" s="2293" t="str">
        <f>IF(I25="","",INDEX(DIFFERENTIATION_UNMERGE_VD,MATCH(I25,DIFFERENTIATION_ID_DIFF,0)))</f>
        <v>Горячее водоснабжение</v>
      </c>
      <c r="J26" s="2294"/>
      <c r="K26" s="2066" t="s">
        <v>293</v>
      </c>
    </row>
    <row r="27" spans="1:21" s="1829" customFormat="1" ht="15" customHeight="1">
      <c r="A27" s="669"/>
      <c r="C27" s="104"/>
      <c r="D27" s="624"/>
      <c r="E27" s="2295" t="s">
        <v>1422</v>
      </c>
      <c r="F27" s="2296"/>
      <c r="G27" s="2293" t="str">
        <f>IF(G25="","",INDEX(DIFFERENTIATION_UNMERGE_AREA,MATCH(G25,DIFFERENTIATION_ID_DIFF,0)))</f>
        <v/>
      </c>
      <c r="H27" s="2294"/>
      <c r="I27" s="2293" t="str">
        <f>IF(I25="","",INDEX(DIFFERENTIATION_UNMERGE_AREA,MATCH(I25,DIFFERENTIATION_ID_DIFF,0)))</f>
        <v>без дифференциации</v>
      </c>
      <c r="J27" s="2294"/>
      <c r="K27" s="2070"/>
      <c r="U27" s="590"/>
    </row>
    <row r="28" spans="1:21" s="1829" customFormat="1" ht="15" customHeight="1">
      <c r="A28" s="669"/>
      <c r="C28" s="104"/>
      <c r="D28" s="624"/>
      <c r="E28" s="2295" t="s">
        <v>1423</v>
      </c>
      <c r="F28" s="2296"/>
      <c r="G28" s="2293" t="str">
        <f>IF(G25="","",INDEX(DIFFERENTIATION_UNMERGE_SYSTEM,MATCH(G25,DIFFERENTIATION_ID_DIFF,0)))</f>
        <v/>
      </c>
      <c r="H28" s="2294"/>
      <c r="I28" s="2293" t="str">
        <f>IF(I25="","",INDEX(DIFFERENTIATION_UNMERGE_SYSTEM,MATCH(I25,DIFFERENTIATION_ID_DIFF,0)))</f>
        <v>Котельная № Т-29</v>
      </c>
      <c r="J28" s="2294"/>
      <c r="K28" s="2070"/>
      <c r="U28" s="590"/>
    </row>
    <row r="29" spans="1:21" s="1829" customFormat="1" ht="15" customHeight="1">
      <c r="A29" s="669"/>
      <c r="C29" s="104"/>
      <c r="D29" s="2297" t="s">
        <v>292</v>
      </c>
      <c r="E29" s="2298"/>
      <c r="F29" s="2298"/>
      <c r="G29" s="783"/>
      <c r="H29" s="783"/>
      <c r="I29" s="783"/>
      <c r="J29" s="784"/>
      <c r="K29" s="2070"/>
      <c r="U29" s="590"/>
    </row>
    <row r="30" spans="1:21" ht="33.75" customHeight="1">
      <c r="C30" s="104"/>
      <c r="D30" s="671" t="s">
        <v>87</v>
      </c>
      <c r="E30" s="670" t="s">
        <v>294</v>
      </c>
      <c r="F30" s="670" t="s">
        <v>1601</v>
      </c>
      <c r="G30" s="713" t="s">
        <v>295</v>
      </c>
      <c r="H30" s="712" t="s">
        <v>384</v>
      </c>
      <c r="I30" s="598" t="s">
        <v>295</v>
      </c>
      <c r="J30" s="394" t="s">
        <v>384</v>
      </c>
      <c r="K30" s="2073"/>
    </row>
    <row r="31" spans="1:21" ht="15" hidden="1" customHeight="1">
      <c r="C31" s="104"/>
      <c r="D31" s="518"/>
      <c r="E31" s="518"/>
      <c r="F31" s="518"/>
      <c r="G31" s="574"/>
      <c r="H31" s="574"/>
      <c r="I31" s="574"/>
      <c r="J31" s="574"/>
      <c r="K31" s="207"/>
    </row>
    <row r="32" spans="1:21" ht="22.5" customHeight="1">
      <c r="A32" s="433"/>
      <c r="B32" s="433" t="s">
        <v>1644</v>
      </c>
      <c r="C32" s="454"/>
      <c r="D32" s="606">
        <v>1</v>
      </c>
      <c r="E32" s="607" t="s">
        <v>1645</v>
      </c>
      <c r="F32" s="605" t="s">
        <v>298</v>
      </c>
      <c r="G32" s="717" t="s">
        <v>298</v>
      </c>
      <c r="H32" s="717" t="s">
        <v>298</v>
      </c>
      <c r="I32" s="605" t="s">
        <v>298</v>
      </c>
      <c r="J32" s="605" t="s">
        <v>298</v>
      </c>
      <c r="K32" s="207"/>
    </row>
    <row r="33" spans="1:21" ht="11.25" customHeight="1">
      <c r="A33" s="433"/>
      <c r="C33" s="433"/>
      <c r="D33" s="271"/>
      <c r="E33" s="507" t="s">
        <v>1558</v>
      </c>
      <c r="F33" s="499"/>
      <c r="G33" s="499"/>
      <c r="H33" s="499"/>
      <c r="I33" s="499"/>
      <c r="J33" s="499"/>
      <c r="K33" s="500"/>
      <c r="U33" s="433"/>
    </row>
    <row r="34" spans="1:21" ht="22.5" customHeight="1">
      <c r="A34" s="433"/>
      <c r="B34" s="508" t="s">
        <v>1455</v>
      </c>
      <c r="C34" s="454"/>
      <c r="D34" s="606">
        <v>2</v>
      </c>
      <c r="E34" s="607" t="s">
        <v>1646</v>
      </c>
      <c r="F34" s="724" t="s">
        <v>298</v>
      </c>
      <c r="G34" s="724" t="s">
        <v>298</v>
      </c>
      <c r="H34" s="724" t="s">
        <v>298</v>
      </c>
      <c r="I34" s="605"/>
      <c r="J34" s="605"/>
      <c r="K34" s="207"/>
    </row>
    <row r="35" spans="1:21" ht="11.25" customHeight="1">
      <c r="A35" s="433"/>
      <c r="C35" s="433"/>
      <c r="D35" s="271"/>
      <c r="E35" s="507" t="s">
        <v>1647</v>
      </c>
      <c r="F35" s="499"/>
      <c r="G35" s="608"/>
      <c r="H35" s="499"/>
      <c r="I35" s="608"/>
      <c r="J35" s="499"/>
      <c r="K35" s="500"/>
      <c r="U35" s="433"/>
    </row>
    <row r="36" spans="1:21" ht="67.5" customHeight="1">
      <c r="A36" s="433"/>
      <c r="B36" s="433" t="s">
        <v>1648</v>
      </c>
      <c r="C36" s="454"/>
      <c r="D36" s="606">
        <v>3</v>
      </c>
      <c r="E36" s="607" t="s">
        <v>1649</v>
      </c>
      <c r="F36" s="609" t="s">
        <v>298</v>
      </c>
      <c r="G36" s="718" t="s">
        <v>1650</v>
      </c>
      <c r="H36" s="717" t="s">
        <v>298</v>
      </c>
      <c r="I36" s="452" t="s">
        <v>1650</v>
      </c>
      <c r="J36" s="605" t="s">
        <v>298</v>
      </c>
      <c r="K36" s="207" t="s">
        <v>1651</v>
      </c>
    </row>
    <row r="37" spans="1:21" ht="11.25" customHeight="1">
      <c r="A37" s="433"/>
      <c r="C37" s="433"/>
      <c r="D37" s="271"/>
      <c r="E37" s="507" t="s">
        <v>1652</v>
      </c>
      <c r="F37" s="499"/>
      <c r="G37" s="608"/>
      <c r="H37" s="608"/>
      <c r="I37" s="608"/>
      <c r="J37" s="608"/>
      <c r="K37" s="500"/>
      <c r="U37" s="433"/>
    </row>
    <row r="38" spans="1:21" ht="67.5" customHeight="1">
      <c r="A38" s="433"/>
      <c r="B38" s="433" t="s">
        <v>1653</v>
      </c>
      <c r="C38" s="454"/>
      <c r="D38" s="606">
        <v>4</v>
      </c>
      <c r="E38" s="607" t="s">
        <v>1654</v>
      </c>
      <c r="F38" s="609" t="s">
        <v>298</v>
      </c>
      <c r="G38" s="718" t="s">
        <v>1650</v>
      </c>
      <c r="H38" s="719" t="s">
        <v>298</v>
      </c>
      <c r="I38" s="452" t="s">
        <v>1650</v>
      </c>
      <c r="J38" s="449" t="s">
        <v>298</v>
      </c>
      <c r="K38" s="594" t="s">
        <v>1655</v>
      </c>
    </row>
    <row r="39" spans="1:21" ht="11.25" customHeight="1">
      <c r="A39" s="433"/>
      <c r="C39" s="433"/>
      <c r="D39" s="271"/>
      <c r="E39" s="507" t="s">
        <v>1656</v>
      </c>
      <c r="F39" s="499"/>
      <c r="G39" s="499"/>
      <c r="H39" s="610"/>
      <c r="I39" s="499"/>
      <c r="J39" s="610"/>
      <c r="K39" s="500"/>
      <c r="U39" s="433"/>
    </row>
  </sheetData>
  <sheetProtection formatColumns="0" formatRows="0" insertRows="0" deleteColumns="0" deleteRows="0" sort="0" autoFilter="0"/>
  <mergeCells count="21">
    <mergeCell ref="G28:H28"/>
    <mergeCell ref="K26:K30"/>
    <mergeCell ref="E27:F27"/>
    <mergeCell ref="E28:F28"/>
    <mergeCell ref="I27:J27"/>
    <mergeCell ref="I28:J28"/>
    <mergeCell ref="G26:H26"/>
    <mergeCell ref="G27:H27"/>
    <mergeCell ref="D29:F29"/>
    <mergeCell ref="B13:B14"/>
    <mergeCell ref="C13:C14"/>
    <mergeCell ref="D22:I22"/>
    <mergeCell ref="D23:I23"/>
    <mergeCell ref="I26:J26"/>
    <mergeCell ref="E26:F26"/>
    <mergeCell ref="B3:B4"/>
    <mergeCell ref="C3:C4"/>
    <mergeCell ref="B6:B7"/>
    <mergeCell ref="C6:C7"/>
    <mergeCell ref="B9:B11"/>
    <mergeCell ref="C9:C11"/>
  </mergeCells>
  <dataValidations count="5">
    <dataValidation allowBlank="1" showInputMessage="1" showErrorMessage="1" prompt="Количество поданных заявок на подключение (технологическое присоединение) к системе теплоснабжения в течение квартала, шт." sqref="E30"/>
    <dataValidation type="textLength" operator="lessThanOrEqual" allowBlank="1" showInputMessage="1" showErrorMessage="1" errorTitle="Ошибка" error="Допускается ввод не более 900 символов!" sqref="I3 I6 I9 I13 G6 G13 G9 G3">
      <formula1>900</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I14 I4 I10:I11 G7 G14 I7 G10:G11 G4"/>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Мониторинг&quot;." sqref="J13:J14 J3:J4 J6:J7 H3:H4 H6:H7 H9:H11 H13:H14 J9:J11">
      <formula1>900</formula1>
    </dataValidation>
    <dataValidation allowBlank="1" showInputMessage="1" showErrorMessage="1" prompt="Для выбора выполните двойной щелчок левой клавиши мыши по ячейке." sqref="I36 G38 I38 G36"/>
  </dataValidations>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39997558519241921"/>
  </sheetPr>
  <dimension ref="A1:AF39"/>
  <sheetViews>
    <sheetView showGridLines="0" topLeftCell="C4" zoomScale="86" workbookViewId="0"/>
  </sheetViews>
  <sheetFormatPr defaultColWidth="10.5703125" defaultRowHeight="14.25" customHeight="1"/>
  <cols>
    <col min="1" max="1" width="9.140625" style="1720" hidden="1" customWidth="1"/>
    <col min="2" max="2" width="9.140625" style="1742" hidden="1" customWidth="1"/>
    <col min="3" max="3" width="3.7109375" style="1674" customWidth="1"/>
    <col min="4" max="4" width="6.28515625" style="1829" customWidth="1"/>
    <col min="5" max="5" width="46.7109375" style="1829" customWidth="1"/>
    <col min="6" max="6" width="35.7109375" style="1829" customWidth="1"/>
    <col min="7" max="7" width="3.7109375" style="1829" customWidth="1"/>
    <col min="8" max="9" width="11.7109375" style="1829" customWidth="1"/>
    <col min="10" max="11" width="35.7109375" style="1829" customWidth="1"/>
    <col min="12" max="12" width="84.85546875" style="1829" hidden="1" customWidth="1"/>
    <col min="13" max="13" width="10.5703125" style="1829"/>
    <col min="14" max="15" width="10.5703125" style="1748"/>
    <col min="16" max="32" width="10.5703125" style="1829"/>
  </cols>
  <sheetData>
    <row r="1" spans="1:32" ht="14.25" hidden="1" customHeight="1">
      <c r="S1" s="329"/>
      <c r="AF1" s="174"/>
    </row>
    <row r="2" spans="1:32" ht="14.25" hidden="1" customHeight="1"/>
    <row r="3" spans="1:32" ht="14.25" hidden="1" customHeight="1"/>
    <row r="4" spans="1:32" ht="6" customHeight="1">
      <c r="C4" s="304"/>
      <c r="D4" s="289"/>
      <c r="E4" s="289"/>
      <c r="F4" s="289"/>
      <c r="G4" s="289"/>
      <c r="H4" s="289"/>
      <c r="I4" s="289"/>
      <c r="J4" s="289"/>
      <c r="K4" s="24"/>
      <c r="L4" s="24"/>
    </row>
    <row r="5" spans="1:32" ht="26.25" customHeight="1">
      <c r="C5" s="304"/>
      <c r="D5" s="2287" t="s">
        <v>1657</v>
      </c>
      <c r="E5" s="2287"/>
      <c r="F5" s="2287"/>
      <c r="G5" s="2287"/>
      <c r="H5" s="2287"/>
      <c r="I5" s="2287"/>
      <c r="J5" s="2287"/>
      <c r="K5" s="2287"/>
      <c r="L5" s="142"/>
    </row>
    <row r="6" spans="1:32" ht="6" customHeight="1">
      <c r="C6" s="304"/>
      <c r="D6" s="289"/>
      <c r="E6" s="321"/>
      <c r="F6" s="321"/>
      <c r="G6" s="321"/>
      <c r="H6" s="321"/>
      <c r="I6" s="321"/>
      <c r="J6" s="321"/>
      <c r="K6" s="248"/>
      <c r="L6" s="118"/>
    </row>
    <row r="7" spans="1:32" ht="18.75" customHeight="1">
      <c r="C7" s="304"/>
      <c r="D7" s="289"/>
      <c r="E7" s="224" t="e">
        <f>"Дата подачи заявления об "&amp;IF(datePr_ch="","утверждении","изменении")&amp;" тарифов"</f>
        <v>#NAME?</v>
      </c>
      <c r="F7" s="2214" t="e">
        <f>IF(datePr_ch="",IF(datePr="","",datePr),datePr_ch)</f>
        <v>#NAME?</v>
      </c>
      <c r="G7" s="2214"/>
      <c r="H7" s="2214"/>
      <c r="I7" s="2214"/>
      <c r="J7" s="2214"/>
      <c r="K7" s="2214"/>
      <c r="L7" s="330"/>
      <c r="M7" s="253"/>
    </row>
    <row r="8" spans="1:32" ht="18.75" customHeight="1">
      <c r="C8" s="304"/>
      <c r="D8" s="289"/>
      <c r="E8" s="224" t="e">
        <f>"Номер подачи заявления об "&amp;IF(numberPr_ch="","утверждении","изменении")&amp;" тарифов"</f>
        <v>#NAME?</v>
      </c>
      <c r="F8" s="2214" t="e">
        <f>IF(numberPr_ch="",IF(numberPr="","",numberPr),numberPr_ch)</f>
        <v>#NAME?</v>
      </c>
      <c r="G8" s="2214"/>
      <c r="H8" s="2214"/>
      <c r="I8" s="2214"/>
      <c r="J8" s="2214"/>
      <c r="K8" s="2214"/>
      <c r="L8" s="330"/>
      <c r="M8" s="253"/>
    </row>
    <row r="9" spans="1:32" ht="14.25" customHeight="1">
      <c r="C9" s="304"/>
      <c r="D9" s="289"/>
      <c r="E9" s="321"/>
      <c r="F9" s="321"/>
      <c r="G9" s="321"/>
      <c r="H9" s="321"/>
      <c r="I9" s="321"/>
      <c r="J9" s="321"/>
      <c r="K9" s="664" t="s">
        <v>1658</v>
      </c>
      <c r="L9" s="118"/>
    </row>
    <row r="10" spans="1:32" ht="21" customHeight="1">
      <c r="C10" s="304"/>
      <c r="D10" s="2097" t="s">
        <v>292</v>
      </c>
      <c r="E10" s="2097"/>
      <c r="F10" s="2097"/>
      <c r="G10" s="2097"/>
      <c r="H10" s="2097"/>
      <c r="I10" s="2097"/>
      <c r="J10" s="2097"/>
      <c r="K10" s="2097"/>
      <c r="L10" s="2209" t="s">
        <v>293</v>
      </c>
    </row>
    <row r="11" spans="1:32" ht="21" customHeight="1">
      <c r="C11" s="304"/>
      <c r="D11" s="2237" t="s">
        <v>87</v>
      </c>
      <c r="E11" s="2104" t="s">
        <v>123</v>
      </c>
      <c r="F11" s="2104" t="s">
        <v>124</v>
      </c>
      <c r="G11" s="2302" t="s">
        <v>1659</v>
      </c>
      <c r="H11" s="2303"/>
      <c r="I11" s="2304"/>
      <c r="J11" s="2104" t="s">
        <v>295</v>
      </c>
      <c r="K11" s="2104" t="s">
        <v>384</v>
      </c>
      <c r="L11" s="2209"/>
    </row>
    <row r="12" spans="1:32" ht="21" customHeight="1">
      <c r="C12" s="304"/>
      <c r="D12" s="2239"/>
      <c r="E12" s="2105"/>
      <c r="F12" s="2105"/>
      <c r="G12" s="2103" t="s">
        <v>701</v>
      </c>
      <c r="H12" s="2117"/>
      <c r="I12" s="44" t="s">
        <v>1660</v>
      </c>
      <c r="J12" s="2105"/>
      <c r="K12" s="2105"/>
      <c r="L12" s="2209"/>
    </row>
    <row r="13" spans="1:32" ht="12" customHeight="1">
      <c r="C13" s="304"/>
      <c r="D13" s="200" t="s">
        <v>108</v>
      </c>
      <c r="E13" s="200" t="s">
        <v>109</v>
      </c>
      <c r="F13" s="200" t="s">
        <v>89</v>
      </c>
      <c r="G13" s="2305" t="s">
        <v>90</v>
      </c>
      <c r="H13" s="2305"/>
      <c r="I13" s="200" t="s">
        <v>110</v>
      </c>
      <c r="J13" s="200" t="s">
        <v>91</v>
      </c>
      <c r="K13" s="200" t="s">
        <v>92</v>
      </c>
      <c r="L13" s="200" t="s">
        <v>111</v>
      </c>
    </row>
    <row r="14" spans="1:32" ht="14.25" customHeight="1">
      <c r="A14" s="267"/>
      <c r="C14" s="304"/>
      <c r="D14" s="331">
        <v>1</v>
      </c>
      <c r="E14" s="2291" t="s">
        <v>1661</v>
      </c>
      <c r="F14" s="2291"/>
      <c r="G14" s="2291"/>
      <c r="H14" s="2291"/>
      <c r="I14" s="2291"/>
      <c r="J14" s="2291"/>
      <c r="K14" s="2291"/>
      <c r="L14" s="207"/>
      <c r="M14" s="259"/>
    </row>
    <row r="15" spans="1:32" ht="56.25" customHeight="1">
      <c r="A15" s="267"/>
      <c r="C15" s="304"/>
      <c r="D15" s="331" t="s">
        <v>620</v>
      </c>
      <c r="E15" s="122" t="s">
        <v>298</v>
      </c>
      <c r="F15" s="122" t="s">
        <v>298</v>
      </c>
      <c r="G15" s="2103" t="s">
        <v>298</v>
      </c>
      <c r="H15" s="2117"/>
      <c r="I15" s="122" t="s">
        <v>298</v>
      </c>
      <c r="J15" s="1697"/>
      <c r="K15" s="135"/>
      <c r="L15" s="269" t="s">
        <v>1662</v>
      </c>
      <c r="M15" s="259"/>
    </row>
    <row r="16" spans="1:32" ht="18.75" customHeight="1">
      <c r="A16" s="267"/>
      <c r="B16" s="75">
        <v>3</v>
      </c>
      <c r="C16" s="304"/>
      <c r="D16" s="332">
        <v>2</v>
      </c>
      <c r="E16" s="2306" t="s">
        <v>1663</v>
      </c>
      <c r="F16" s="2306"/>
      <c r="G16" s="2306"/>
      <c r="H16" s="2307"/>
      <c r="I16" s="2307"/>
      <c r="J16" s="2307" t="s">
        <v>298</v>
      </c>
      <c r="K16" s="2307"/>
      <c r="L16" s="319"/>
      <c r="M16" s="259"/>
    </row>
    <row r="17" spans="1:15" ht="77.25" customHeight="1">
      <c r="A17" s="267"/>
      <c r="C17" s="2308"/>
      <c r="D17" s="2309" t="s">
        <v>505</v>
      </c>
      <c r="E17" s="2310"/>
      <c r="F17" s="2155"/>
      <c r="G17" s="122"/>
      <c r="H17" s="1596"/>
      <c r="I17" s="1594"/>
      <c r="J17" s="1697"/>
      <c r="K17" s="122" t="s">
        <v>298</v>
      </c>
      <c r="L17" s="2053" t="s">
        <v>1664</v>
      </c>
      <c r="M17" s="259"/>
    </row>
    <row r="18" spans="1:15" ht="18.75" customHeight="1">
      <c r="A18" s="267"/>
      <c r="C18" s="2308"/>
      <c r="D18" s="2309"/>
      <c r="E18" s="2310"/>
      <c r="F18" s="2155"/>
      <c r="G18" s="333"/>
      <c r="H18" s="327" t="s">
        <v>1557</v>
      </c>
      <c r="I18" s="273"/>
      <c r="J18" s="273"/>
      <c r="K18" s="124"/>
      <c r="L18" s="2054"/>
      <c r="M18" s="259"/>
    </row>
    <row r="19" spans="1:15" ht="15" customHeight="1">
      <c r="A19" s="267"/>
      <c r="C19" s="304"/>
      <c r="D19" s="333"/>
      <c r="E19" s="334" t="s">
        <v>1665</v>
      </c>
      <c r="F19" s="335"/>
      <c r="G19" s="335"/>
      <c r="H19" s="273"/>
      <c r="I19" s="273"/>
      <c r="J19" s="273"/>
      <c r="K19" s="124"/>
      <c r="L19" s="2055"/>
      <c r="M19" s="259"/>
    </row>
    <row r="20" spans="1:15" ht="18.75" customHeight="1">
      <c r="A20" s="267"/>
      <c r="B20" s="75">
        <v>3</v>
      </c>
      <c r="C20" s="304"/>
      <c r="D20" s="76" t="s">
        <v>89</v>
      </c>
      <c r="E20" s="2291" t="s">
        <v>1666</v>
      </c>
      <c r="F20" s="2291"/>
      <c r="G20" s="2291"/>
      <c r="H20" s="2291"/>
      <c r="I20" s="2291"/>
      <c r="J20" s="2291"/>
      <c r="K20" s="2291"/>
      <c r="L20" s="215"/>
      <c r="M20" s="259"/>
    </row>
    <row r="21" spans="1:15" ht="33.75" customHeight="1">
      <c r="A21" s="267"/>
      <c r="C21" s="304"/>
      <c r="D21" s="331" t="s">
        <v>318</v>
      </c>
      <c r="E21" s="122" t="s">
        <v>298</v>
      </c>
      <c r="F21" s="122" t="s">
        <v>298</v>
      </c>
      <c r="G21" s="2103" t="s">
        <v>298</v>
      </c>
      <c r="H21" s="2117"/>
      <c r="I21" s="122" t="s">
        <v>298</v>
      </c>
      <c r="J21" s="122" t="s">
        <v>298</v>
      </c>
      <c r="K21" s="336"/>
      <c r="L21" s="269" t="s">
        <v>1667</v>
      </c>
      <c r="M21" s="259"/>
    </row>
    <row r="22" spans="1:15" ht="18.75" customHeight="1">
      <c r="A22" s="267"/>
      <c r="B22" s="75">
        <v>3</v>
      </c>
      <c r="C22" s="304"/>
      <c r="D22" s="76" t="s">
        <v>90</v>
      </c>
      <c r="E22" s="2291" t="s">
        <v>1668</v>
      </c>
      <c r="F22" s="2291"/>
      <c r="G22" s="2291"/>
      <c r="H22" s="2291"/>
      <c r="I22" s="2291"/>
      <c r="J22" s="2291"/>
      <c r="K22" s="2291"/>
      <c r="L22" s="215"/>
      <c r="M22" s="259"/>
    </row>
    <row r="23" spans="1:15" ht="54.75" customHeight="1">
      <c r="A23" s="267"/>
      <c r="C23" s="2308"/>
      <c r="D23" s="2309" t="s">
        <v>613</v>
      </c>
      <c r="E23" s="2310"/>
      <c r="F23" s="2155"/>
      <c r="G23" s="122"/>
      <c r="H23" s="1594"/>
      <c r="I23" s="1594"/>
      <c r="J23" s="1702"/>
      <c r="K23" s="122" t="s">
        <v>298</v>
      </c>
      <c r="L23" s="2053" t="s">
        <v>1669</v>
      </c>
      <c r="M23" s="259"/>
    </row>
    <row r="24" spans="1:15" ht="18.75" customHeight="1">
      <c r="A24" s="267"/>
      <c r="C24" s="2308"/>
      <c r="D24" s="2309"/>
      <c r="E24" s="2310"/>
      <c r="F24" s="2155"/>
      <c r="G24" s="333"/>
      <c r="H24" s="327" t="s">
        <v>1557</v>
      </c>
      <c r="I24" s="123"/>
      <c r="J24" s="123"/>
      <c r="K24" s="124"/>
      <c r="L24" s="2054"/>
      <c r="M24" s="259"/>
    </row>
    <row r="25" spans="1:15" ht="15" customHeight="1">
      <c r="A25" s="267"/>
      <c r="C25" s="304"/>
      <c r="D25" s="271"/>
      <c r="E25" s="334" t="s">
        <v>1665</v>
      </c>
      <c r="F25" s="123"/>
      <c r="G25" s="123"/>
      <c r="H25" s="123"/>
      <c r="I25" s="123"/>
      <c r="J25" s="123"/>
      <c r="K25" s="124"/>
      <c r="L25" s="2055"/>
      <c r="M25" s="259"/>
    </row>
    <row r="26" spans="1:15" ht="18.75" customHeight="1">
      <c r="A26" s="267"/>
      <c r="C26" s="304"/>
      <c r="D26" s="76" t="s">
        <v>110</v>
      </c>
      <c r="E26" s="2291" t="s">
        <v>1670</v>
      </c>
      <c r="F26" s="2291"/>
      <c r="G26" s="2291"/>
      <c r="H26" s="2291"/>
      <c r="I26" s="2291"/>
      <c r="J26" s="2291"/>
      <c r="K26" s="2291"/>
      <c r="L26" s="215"/>
      <c r="M26" s="259"/>
    </row>
    <row r="27" spans="1:15" ht="66" customHeight="1">
      <c r="A27" s="267"/>
      <c r="C27" s="2308"/>
      <c r="D27" s="2311" t="s">
        <v>307</v>
      </c>
      <c r="E27" s="2310"/>
      <c r="F27" s="2155"/>
      <c r="G27" s="122"/>
      <c r="H27" s="1596"/>
      <c r="I27" s="1594"/>
      <c r="J27" s="1702"/>
      <c r="K27" s="122" t="s">
        <v>298</v>
      </c>
      <c r="L27" s="2053" t="s">
        <v>1671</v>
      </c>
      <c r="M27" s="259"/>
    </row>
    <row r="28" spans="1:15" ht="18.75" customHeight="1">
      <c r="A28" s="267"/>
      <c r="C28" s="2308"/>
      <c r="D28" s="2312"/>
      <c r="E28" s="2310"/>
      <c r="F28" s="2155"/>
      <c r="G28" s="333"/>
      <c r="H28" s="327" t="s">
        <v>1557</v>
      </c>
      <c r="I28" s="123"/>
      <c r="J28" s="123"/>
      <c r="K28" s="124"/>
      <c r="L28" s="2054"/>
      <c r="M28" s="259"/>
    </row>
    <row r="29" spans="1:15" ht="15" customHeight="1">
      <c r="A29" s="267"/>
      <c r="C29" s="304"/>
      <c r="D29" s="271"/>
      <c r="E29" s="334" t="s">
        <v>1665</v>
      </c>
      <c r="F29" s="123"/>
      <c r="G29" s="123"/>
      <c r="H29" s="123"/>
      <c r="I29" s="123"/>
      <c r="J29" s="123"/>
      <c r="K29" s="124"/>
      <c r="L29" s="2055"/>
      <c r="M29" s="259"/>
    </row>
    <row r="30" spans="1:15" ht="26.25" customHeight="1">
      <c r="A30" s="267"/>
      <c r="C30" s="304"/>
      <c r="D30" s="76" t="s">
        <v>91</v>
      </c>
      <c r="E30" s="2291" t="s">
        <v>1672</v>
      </c>
      <c r="F30" s="2291"/>
      <c r="G30" s="2291"/>
      <c r="H30" s="2291"/>
      <c r="I30" s="2291"/>
      <c r="J30" s="2291"/>
      <c r="K30" s="2291"/>
      <c r="L30" s="215"/>
      <c r="M30" s="259"/>
    </row>
    <row r="31" spans="1:15" ht="99" customHeight="1">
      <c r="A31" s="267"/>
      <c r="C31" s="2308"/>
      <c r="D31" s="2311" t="s">
        <v>518</v>
      </c>
      <c r="E31" s="2310"/>
      <c r="F31" s="2155"/>
      <c r="G31" s="122"/>
      <c r="H31" s="1596"/>
      <c r="I31" s="1594"/>
      <c r="J31" s="1702"/>
      <c r="K31" s="122" t="s">
        <v>298</v>
      </c>
      <c r="L31" s="2053" t="s">
        <v>1673</v>
      </c>
      <c r="M31" s="259"/>
      <c r="O31" s="274" t="s">
        <v>1585</v>
      </c>
    </row>
    <row r="32" spans="1:15" ht="18.75" customHeight="1">
      <c r="A32" s="267"/>
      <c r="C32" s="2308"/>
      <c r="D32" s="2312"/>
      <c r="E32" s="2310"/>
      <c r="F32" s="2155"/>
      <c r="G32" s="333"/>
      <c r="H32" s="327" t="s">
        <v>1557</v>
      </c>
      <c r="I32" s="123"/>
      <c r="J32" s="123"/>
      <c r="K32" s="124"/>
      <c r="L32" s="2054"/>
      <c r="M32" s="259"/>
    </row>
    <row r="33" spans="1:15" ht="15" customHeight="1">
      <c r="A33" s="267"/>
      <c r="C33" s="304"/>
      <c r="D33" s="271"/>
      <c r="E33" s="334" t="s">
        <v>1665</v>
      </c>
      <c r="F33" s="123"/>
      <c r="G33" s="123"/>
      <c r="H33" s="123"/>
      <c r="I33" s="123"/>
      <c r="J33" s="123"/>
      <c r="K33" s="124"/>
      <c r="L33" s="2055"/>
      <c r="M33" s="259"/>
    </row>
    <row r="34" spans="1:15" ht="25.5" customHeight="1">
      <c r="A34" s="267"/>
      <c r="B34" s="75">
        <v>3</v>
      </c>
      <c r="C34" s="304"/>
      <c r="D34" s="76" t="s">
        <v>92</v>
      </c>
      <c r="E34" s="2291" t="s">
        <v>1674</v>
      </c>
      <c r="F34" s="2291"/>
      <c r="G34" s="2291"/>
      <c r="H34" s="2291"/>
      <c r="I34" s="2291"/>
      <c r="J34" s="2291"/>
      <c r="K34" s="2291"/>
      <c r="L34" s="215"/>
      <c r="M34" s="259"/>
    </row>
    <row r="35" spans="1:15" ht="99" customHeight="1">
      <c r="A35" s="267"/>
      <c r="C35" s="2308"/>
      <c r="D35" s="2311" t="s">
        <v>1675</v>
      </c>
      <c r="E35" s="2310"/>
      <c r="F35" s="2155"/>
      <c r="G35" s="122"/>
      <c r="H35" s="1596"/>
      <c r="I35" s="1594"/>
      <c r="J35" s="1702"/>
      <c r="K35" s="122" t="s">
        <v>298</v>
      </c>
      <c r="L35" s="2053" t="s">
        <v>1676</v>
      </c>
      <c r="M35" s="259"/>
    </row>
    <row r="36" spans="1:15" ht="18.75" customHeight="1">
      <c r="A36" s="267"/>
      <c r="C36" s="2308"/>
      <c r="D36" s="2312"/>
      <c r="E36" s="2310"/>
      <c r="F36" s="2155"/>
      <c r="G36" s="333"/>
      <c r="H36" s="327" t="s">
        <v>1557</v>
      </c>
      <c r="I36" s="123"/>
      <c r="J36" s="123"/>
      <c r="K36" s="124"/>
      <c r="L36" s="2054"/>
      <c r="M36" s="259"/>
    </row>
    <row r="37" spans="1:15" ht="15" customHeight="1">
      <c r="A37" s="267"/>
      <c r="C37" s="304"/>
      <c r="D37" s="271"/>
      <c r="E37" s="334" t="s">
        <v>1665</v>
      </c>
      <c r="F37" s="123"/>
      <c r="G37" s="123"/>
      <c r="H37" s="123"/>
      <c r="I37" s="123"/>
      <c r="J37" s="123"/>
      <c r="K37" s="124"/>
      <c r="L37" s="2055"/>
      <c r="M37" s="259"/>
    </row>
    <row r="38" spans="1:15" s="1797" customFormat="1" ht="3" customHeight="1">
      <c r="A38" s="267"/>
      <c r="D38" s="337"/>
      <c r="E38" s="337"/>
      <c r="F38" s="337"/>
      <c r="G38" s="337"/>
      <c r="H38" s="337"/>
      <c r="I38" s="337"/>
      <c r="J38" s="337"/>
      <c r="K38" s="337"/>
      <c r="L38" s="337"/>
      <c r="N38" s="120"/>
      <c r="O38" s="120"/>
    </row>
    <row r="39" spans="1:15" ht="24.75" customHeight="1">
      <c r="D39" s="125">
        <v>1</v>
      </c>
      <c r="E39" s="2220" t="s">
        <v>1677</v>
      </c>
      <c r="F39" s="2220"/>
      <c r="G39" s="2220"/>
      <c r="H39" s="2220"/>
      <c r="I39" s="2220"/>
      <c r="J39" s="2220"/>
      <c r="K39" s="2220"/>
      <c r="L39" s="2220"/>
    </row>
  </sheetData>
  <sheetProtection formatColumns="0" formatRows="0" insertRows="0" deleteColumns="0" deleteRows="0" sort="0" autoFilter="0"/>
  <mergeCells count="48">
    <mergeCell ref="E39:L39"/>
    <mergeCell ref="E34:K34"/>
    <mergeCell ref="C35:C36"/>
    <mergeCell ref="D35:D36"/>
    <mergeCell ref="E35:E36"/>
    <mergeCell ref="F35:F36"/>
    <mergeCell ref="L35:L37"/>
    <mergeCell ref="L31:L33"/>
    <mergeCell ref="L23:L25"/>
    <mergeCell ref="E26:K26"/>
    <mergeCell ref="C27:C28"/>
    <mergeCell ref="D27:D28"/>
    <mergeCell ref="E27:E28"/>
    <mergeCell ref="F27:F28"/>
    <mergeCell ref="L27:L29"/>
    <mergeCell ref="E30:K30"/>
    <mergeCell ref="C31:C32"/>
    <mergeCell ref="D31:D32"/>
    <mergeCell ref="E31:E32"/>
    <mergeCell ref="F31:F32"/>
    <mergeCell ref="G21:H21"/>
    <mergeCell ref="E22:K22"/>
    <mergeCell ref="C23:C24"/>
    <mergeCell ref="D23:D24"/>
    <mergeCell ref="E23:E24"/>
    <mergeCell ref="F23:F24"/>
    <mergeCell ref="C17:C18"/>
    <mergeCell ref="D17:D18"/>
    <mergeCell ref="E17:E18"/>
    <mergeCell ref="F17:F18"/>
    <mergeCell ref="L17:L19"/>
    <mergeCell ref="E20:K20"/>
    <mergeCell ref="K11:K12"/>
    <mergeCell ref="G12:H12"/>
    <mergeCell ref="G13:H13"/>
    <mergeCell ref="E14:K14"/>
    <mergeCell ref="G15:H15"/>
    <mergeCell ref="E16:K16"/>
    <mergeCell ref="D5:K5"/>
    <mergeCell ref="F7:K7"/>
    <mergeCell ref="F8:K8"/>
    <mergeCell ref="D10:K10"/>
    <mergeCell ref="L10:L12"/>
    <mergeCell ref="D11:D12"/>
    <mergeCell ref="E11:E12"/>
    <mergeCell ref="F11:F12"/>
    <mergeCell ref="G11:I11"/>
    <mergeCell ref="J11:J12"/>
  </mergeCells>
  <dataValidations count="6">
    <dataValidation type="textLength" operator="lessThanOrEqual" allowBlank="1" showInputMessage="1" showErrorMessage="1" errorTitle="Ошибка" error="Допускается ввод не более 900 символов!" prompt="В случае отсутствия утвержденной в установленном порядке инвестиционной программы (проекта инвестиционной программы) укажите &quot;отсутствует&quot; в данной ячейке" sqref="J15">
      <formula1>900</formula1>
    </dataValidation>
    <dataValidation type="textLength" operator="lessThanOrEqual" allowBlank="1" showInputMessage="1" showErrorMessage="1" errorTitle="Ошибка" error="Допускается ввод не более 900 символов!" sqref="L27 L31 L16:L17 L23 L35">
      <formula1>900</formula1>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Мониторинг&quot;." sqref="K15 K21">
      <formula1>900</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H31:I31 H17:I17 H23:I23 H27:I27 H35:I35"/>
    <dataValidation type="list" allowBlank="1" showInputMessage="1" showErrorMessage="1" errorTitle="Ошибка" error="Выберите значение из списка" prompt="Выберите значение из списка" sqref="J17">
      <formula1>kind_of_control_method</formula1>
    </dataValidation>
    <dataValidation type="decimal" allowBlank="1" showErrorMessage="1" errorTitle="Ошибка" error="Допускается ввод только действительных чисел!" sqref="J27 J31 J23 J35">
      <formula1>-9.99999999999999E+23</formula1>
      <formula2>9.99999999999999E+23</formula2>
    </dataValidation>
  </dataValidations>
  <pageMargins left="0.7" right="0.7" top="0.75" bottom="0.75" header="0.3" footer="0.3"/>
  <pageSetup orientation="portrait"/>
  <headerFooter>
    <oddHeader>&amp;L&amp;C&amp;R</oddHeader>
    <oddFooter>&amp;L&amp;C&amp;R</oddFooter>
    <evenHeader>&amp;L&amp;C&amp;R</evenHeader>
    <evenFooter>&amp;L&amp;C&amp;R</evenFooter>
  </headerFooter>
  <drawing r:id="rId1"/>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39997558519241921"/>
  </sheetPr>
  <dimension ref="A1:AP57"/>
  <sheetViews>
    <sheetView showGridLines="0" topLeftCell="P23" zoomScale="90" workbookViewId="0"/>
  </sheetViews>
  <sheetFormatPr defaultColWidth="10.5703125" defaultRowHeight="14.25" customHeight="1"/>
  <cols>
    <col min="1" max="1" width="10.5703125" style="1742" hidden="1"/>
    <col min="2" max="2" width="11" style="1742" hidden="1" customWidth="1"/>
    <col min="3" max="3" width="10.5703125" style="1742" hidden="1"/>
    <col min="4" max="4" width="11.85546875" style="1742" hidden="1" customWidth="1"/>
    <col min="5" max="5" width="10" style="1742" hidden="1" customWidth="1"/>
    <col min="6" max="6" width="8.7109375" style="1742" hidden="1" customWidth="1"/>
    <col min="7" max="7" width="7.5703125" style="1742" hidden="1" customWidth="1"/>
    <col min="8" max="8" width="11.42578125" style="1742" hidden="1" customWidth="1"/>
    <col min="9" max="9" width="14.140625" style="1742" hidden="1" customWidth="1"/>
    <col min="10" max="10" width="9.85546875" style="1742" hidden="1" customWidth="1"/>
    <col min="11" max="11" width="14.7109375" style="1742" hidden="1" customWidth="1"/>
    <col min="12" max="12" width="19.140625" style="1741" hidden="1" customWidth="1"/>
    <col min="13" max="14" width="12.28515625" style="1683" hidden="1" customWidth="1"/>
    <col min="15" max="15" width="23.42578125" style="1683" hidden="1" customWidth="1"/>
    <col min="16" max="16" width="3.7109375" style="1720" customWidth="1"/>
    <col min="17" max="18" width="3.7109375" style="1674" customWidth="1"/>
    <col min="19" max="19" width="12.7109375" style="1713" customWidth="1"/>
    <col min="20" max="20" width="35.7109375" style="1829" customWidth="1"/>
    <col min="21" max="21" width="0.140625" style="1829" customWidth="1"/>
    <col min="22" max="24" width="24.7109375" style="1829" hidden="1" customWidth="1"/>
    <col min="25" max="25" width="11.7109375" style="1829" hidden="1" customWidth="1"/>
    <col min="26" max="26" width="3.7109375" style="1829" hidden="1" customWidth="1"/>
    <col min="27" max="27" width="11.7109375" style="1829" hidden="1" customWidth="1"/>
    <col min="28" max="28" width="8.5703125" style="1829" hidden="1" customWidth="1"/>
    <col min="29" max="31" width="24.7109375" style="1829" customWidth="1"/>
    <col min="32" max="32" width="11.7109375" style="1829" customWidth="1"/>
    <col min="33" max="33" width="3.7109375" style="1829" customWidth="1"/>
    <col min="34" max="34" width="11.7109375" style="1829" customWidth="1"/>
    <col min="35" max="35" width="8.5703125" style="1829" hidden="1" customWidth="1"/>
    <col min="36" max="36" width="4.7109375" style="1829" customWidth="1"/>
    <col min="37" max="37" width="115.7109375" style="1829" customWidth="1"/>
    <col min="38" max="39" width="10.5703125" style="1755"/>
    <col min="40" max="40" width="11.140625" style="1755" customWidth="1"/>
    <col min="41" max="42" width="10.5703125" style="1755"/>
  </cols>
  <sheetData>
    <row r="1" spans="1:42" ht="14.25" hidden="1" customHeight="1">
      <c r="X1" s="254"/>
      <c r="Y1" s="254"/>
      <c r="AE1" s="254"/>
      <c r="AF1" s="254"/>
    </row>
    <row r="2" spans="1:42" ht="23.25" hidden="1" customHeight="1">
      <c r="A2" s="1242"/>
      <c r="B2" s="1242"/>
      <c r="C2" s="1242"/>
      <c r="D2" s="1242"/>
      <c r="E2" s="2221">
        <v>1</v>
      </c>
      <c r="F2" s="1242"/>
      <c r="G2" s="1242"/>
      <c r="H2" s="1242"/>
      <c r="I2" s="1242"/>
      <c r="J2" s="1242"/>
      <c r="K2" s="1242"/>
      <c r="L2" s="1243"/>
      <c r="M2" s="1244"/>
      <c r="N2" s="1244"/>
      <c r="O2" s="1244"/>
      <c r="P2" s="285"/>
      <c r="Q2" s="284"/>
      <c r="R2" s="279"/>
      <c r="S2" s="1292" t="e">
        <f>INDEX(PT_DIFFERENTIATION_NUM_NTAR,MATCH(A2,PT_DIFFERENTIATION_NTAR_ID,0))</f>
        <v>#N/A</v>
      </c>
      <c r="T2" s="216" t="s">
        <v>124</v>
      </c>
      <c r="U2" s="218"/>
      <c r="V2" s="2215"/>
      <c r="W2" s="2216"/>
      <c r="X2" s="2216"/>
      <c r="Y2" s="2216"/>
      <c r="Z2" s="2216"/>
      <c r="AA2" s="2216"/>
      <c r="AB2" s="2217"/>
      <c r="AC2" s="2215" t="e">
        <f>INDEX(PT_DIFFERENTIATION_NTAR,MATCH(A2,PT_DIFFERENTIATION_NTAR_ID,0))</f>
        <v>#N/A</v>
      </c>
      <c r="AD2" s="2216"/>
      <c r="AE2" s="2216"/>
      <c r="AF2" s="2216"/>
      <c r="AG2" s="2216"/>
      <c r="AH2" s="2216"/>
      <c r="AI2" s="2216"/>
      <c r="AJ2" s="2217"/>
      <c r="AK2" s="1138"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2" s="428"/>
      <c r="AN2" s="428" t="str">
        <f t="shared" ref="AN2:AN13" si="0">IF(T2="","",T2)</f>
        <v>Наименование тарифа</v>
      </c>
      <c r="AO2" s="428"/>
      <c r="AP2" s="428"/>
    </row>
    <row r="3" spans="1:42" ht="23.25" hidden="1" customHeight="1">
      <c r="A3" s="1242"/>
      <c r="B3" s="1242"/>
      <c r="C3" s="1242"/>
      <c r="D3" s="1242"/>
      <c r="E3" s="2222"/>
      <c r="F3" s="2221">
        <v>1</v>
      </c>
      <c r="G3" s="1242"/>
      <c r="H3" s="1242"/>
      <c r="I3" s="1242"/>
      <c r="J3" s="1242"/>
      <c r="K3" s="1242"/>
      <c r="L3" s="1243"/>
      <c r="M3" s="1244"/>
      <c r="N3" s="1244"/>
      <c r="O3" s="1244"/>
      <c r="P3" s="1290"/>
      <c r="Q3" s="276"/>
      <c r="R3" s="277"/>
      <c r="S3" s="1292" t="e">
        <f>INDEX(PT_DIFFERENTIATION_NUM_TER,MATCH(B3,PT_DIFFERENTIATION_TER_ID,0))</f>
        <v>#N/A</v>
      </c>
      <c r="T3" s="228" t="s">
        <v>1463</v>
      </c>
      <c r="U3" s="218"/>
      <c r="V3" s="2215"/>
      <c r="W3" s="2216"/>
      <c r="X3" s="2216"/>
      <c r="Y3" s="2216"/>
      <c r="Z3" s="2216"/>
      <c r="AA3" s="2216"/>
      <c r="AB3" s="2217"/>
      <c r="AC3" s="2215" t="e">
        <f>INDEX(PT_DIFFERENTIATION_TER,MATCH(B3,PT_DIFFERENTIATION_TER_ID,0))</f>
        <v>#N/A</v>
      </c>
      <c r="AD3" s="2216"/>
      <c r="AE3" s="2216"/>
      <c r="AF3" s="2216"/>
      <c r="AG3" s="2216"/>
      <c r="AH3" s="2216"/>
      <c r="AI3" s="2216"/>
      <c r="AJ3" s="2217"/>
      <c r="AK3" s="1138" t="s">
        <v>1464</v>
      </c>
      <c r="AM3" s="428"/>
      <c r="AN3" s="428" t="str">
        <f t="shared" si="0"/>
        <v>Территория действия тарифа</v>
      </c>
      <c r="AO3" s="428"/>
      <c r="AP3" s="428"/>
    </row>
    <row r="4" spans="1:42" ht="23.25" hidden="1" customHeight="1">
      <c r="A4" s="1242"/>
      <c r="B4" s="1242"/>
      <c r="C4" s="1242"/>
      <c r="D4" s="1242"/>
      <c r="E4" s="2222"/>
      <c r="F4" s="2222"/>
      <c r="G4" s="2221">
        <v>1</v>
      </c>
      <c r="H4" s="1242"/>
      <c r="I4" s="1242"/>
      <c r="J4" s="1242"/>
      <c r="K4" s="1242"/>
      <c r="L4" s="1243"/>
      <c r="M4" s="1244"/>
      <c r="N4" s="1244"/>
      <c r="O4" s="1244"/>
      <c r="P4" s="278"/>
      <c r="Q4" s="276"/>
      <c r="R4" s="277"/>
      <c r="S4" s="1292" t="e">
        <f>INDEX(PT_DIFFERENTIATION_NUM_CS,MATCH(C4,PT_DIFFERENTIATION_CS_ID,0))</f>
        <v>#N/A</v>
      </c>
      <c r="T4" s="229" t="s">
        <v>1678</v>
      </c>
      <c r="U4" s="218"/>
      <c r="V4" s="2215"/>
      <c r="W4" s="2216"/>
      <c r="X4" s="2216"/>
      <c r="Y4" s="2216"/>
      <c r="Z4" s="2216"/>
      <c r="AA4" s="2216"/>
      <c r="AB4" s="2217"/>
      <c r="AC4" s="2215" t="e">
        <f>INDEX(PT_DIFFERENTIATION_CS,MATCH(C4,PT_DIFFERENTIATION_CS_ID,0))</f>
        <v>#N/A</v>
      </c>
      <c r="AD4" s="2216"/>
      <c r="AE4" s="2216"/>
      <c r="AF4" s="2216"/>
      <c r="AG4" s="2216"/>
      <c r="AH4" s="2216"/>
      <c r="AI4" s="2216"/>
      <c r="AJ4" s="2217"/>
      <c r="AK4" s="1138" t="s">
        <v>1679</v>
      </c>
      <c r="AM4" s="428"/>
      <c r="AN4" s="428" t="str">
        <f t="shared" si="0"/>
        <v>Наименование централизованной системы холодного водоснабжения</v>
      </c>
      <c r="AO4" s="428"/>
      <c r="AP4" s="428"/>
    </row>
    <row r="5" spans="1:42" ht="23.25" hidden="1" customHeight="1">
      <c r="A5" s="1242"/>
      <c r="B5" s="1242"/>
      <c r="C5" s="1242"/>
      <c r="D5" s="1242"/>
      <c r="E5" s="2222"/>
      <c r="F5" s="2222"/>
      <c r="G5" s="2222"/>
      <c r="H5" s="2222"/>
      <c r="I5" s="2223" t="e">
        <f>S4&amp;".1"</f>
        <v>#N/A</v>
      </c>
      <c r="J5" s="1242"/>
      <c r="K5" s="1242"/>
      <c r="L5" s="1243"/>
      <c r="P5" s="2143">
        <v>1</v>
      </c>
      <c r="Q5" s="1289"/>
      <c r="R5" s="280"/>
      <c r="S5" s="1292" t="e">
        <f>$I5</f>
        <v>#N/A</v>
      </c>
      <c r="T5" s="203" t="s">
        <v>1680</v>
      </c>
      <c r="U5" s="218"/>
      <c r="V5" s="2313"/>
      <c r="W5" s="2314"/>
      <c r="X5" s="2314"/>
      <c r="Y5" s="2314"/>
      <c r="Z5" s="2314"/>
      <c r="AA5" s="2314"/>
      <c r="AB5" s="2315"/>
      <c r="AC5" s="2316"/>
      <c r="AD5" s="2317"/>
      <c r="AE5" s="2317"/>
      <c r="AF5" s="2317"/>
      <c r="AG5" s="2317"/>
      <c r="AH5" s="2317"/>
      <c r="AI5" s="2317"/>
      <c r="AJ5" s="2318"/>
      <c r="AK5" s="1138" t="s">
        <v>1681</v>
      </c>
      <c r="AM5" s="428"/>
      <c r="AN5" s="428" t="str">
        <f t="shared" si="0"/>
        <v>Наименование признака дифференциации</v>
      </c>
      <c r="AO5" s="428"/>
      <c r="AP5" s="428"/>
    </row>
    <row r="6" spans="1:42" ht="23.25" hidden="1" customHeight="1">
      <c r="A6" s="1242"/>
      <c r="B6" s="1242"/>
      <c r="C6" s="1242"/>
      <c r="D6" s="1242"/>
      <c r="E6" s="2222"/>
      <c r="F6" s="2222"/>
      <c r="G6" s="2222"/>
      <c r="H6" s="2222"/>
      <c r="I6" s="2224"/>
      <c r="J6" s="2223" t="e">
        <f>I5&amp;".1"</f>
        <v>#N/A</v>
      </c>
      <c r="K6" s="1242"/>
      <c r="L6" s="1243" t="s">
        <v>1472</v>
      </c>
      <c r="P6" s="2143"/>
      <c r="Q6" s="2143">
        <v>1</v>
      </c>
      <c r="R6" s="281"/>
      <c r="S6" s="1292" t="e">
        <f>$J6</f>
        <v>#N/A</v>
      </c>
      <c r="T6" s="204" t="s">
        <v>1473</v>
      </c>
      <c r="U6" s="218"/>
      <c r="V6" s="2210"/>
      <c r="W6" s="2211"/>
      <c r="X6" s="2211"/>
      <c r="Y6" s="2211"/>
      <c r="Z6" s="2211"/>
      <c r="AA6" s="2211"/>
      <c r="AB6" s="2212"/>
      <c r="AC6" s="2210"/>
      <c r="AD6" s="2211"/>
      <c r="AE6" s="2211"/>
      <c r="AF6" s="2211"/>
      <c r="AG6" s="2211"/>
      <c r="AH6" s="2211"/>
      <c r="AI6" s="2211"/>
      <c r="AJ6" s="2212"/>
      <c r="AK6" s="1192" t="s">
        <v>1682</v>
      </c>
      <c r="AM6" s="428"/>
      <c r="AN6" s="428" t="str">
        <f t="shared" si="0"/>
        <v>Группа потребителей</v>
      </c>
      <c r="AO6" s="428"/>
      <c r="AP6" s="428"/>
    </row>
    <row r="7" spans="1:42" ht="23.25" hidden="1" customHeight="1">
      <c r="A7" s="1242"/>
      <c r="B7" s="1242"/>
      <c r="C7" s="1242"/>
      <c r="D7" s="1242"/>
      <c r="E7" s="2222"/>
      <c r="F7" s="2222"/>
      <c r="G7" s="2222"/>
      <c r="H7" s="2222"/>
      <c r="I7" s="2224"/>
      <c r="J7" s="2224"/>
      <c r="K7" s="2223" t="e">
        <f>J6&amp;".1"</f>
        <v>#N/A</v>
      </c>
      <c r="L7" s="1243"/>
      <c r="P7" s="2143"/>
      <c r="Q7" s="2143"/>
      <c r="R7" s="281">
        <v>1</v>
      </c>
      <c r="S7" s="1292" t="e">
        <f>$K7</f>
        <v>#N/A</v>
      </c>
      <c r="T7" s="1304"/>
      <c r="U7" s="218"/>
      <c r="V7" s="1664"/>
      <c r="W7" s="1664"/>
      <c r="X7" s="1666"/>
      <c r="Y7" s="2225"/>
      <c r="Z7" s="2017" t="s">
        <v>62</v>
      </c>
      <c r="AA7" s="2225"/>
      <c r="AB7" s="2017" t="s">
        <v>62</v>
      </c>
      <c r="AC7" s="1664"/>
      <c r="AD7" s="1664"/>
      <c r="AE7" s="1666"/>
      <c r="AF7" s="2225"/>
      <c r="AG7" s="2017" t="s">
        <v>62</v>
      </c>
      <c r="AH7" s="2227"/>
      <c r="AI7" s="2017" t="s">
        <v>62</v>
      </c>
      <c r="AJ7" s="1703"/>
      <c r="AK7" s="2319"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7" s="439" t="e">
        <f ca="1">STRCHECKDATE(V8:AJ8)</f>
        <v>#NAME?</v>
      </c>
      <c r="AM7" s="428"/>
      <c r="AN7" s="428" t="str">
        <f t="shared" si="0"/>
        <v/>
      </c>
      <c r="AO7" s="428"/>
      <c r="AP7" s="428"/>
    </row>
    <row r="8" spans="1:42" ht="0.75" hidden="1" customHeight="1">
      <c r="A8" s="1242"/>
      <c r="B8" s="1242"/>
      <c r="C8" s="1242"/>
      <c r="D8" s="1242"/>
      <c r="E8" s="2222"/>
      <c r="F8" s="2222"/>
      <c r="G8" s="2222"/>
      <c r="H8" s="2222"/>
      <c r="I8" s="2224"/>
      <c r="J8" s="2224"/>
      <c r="K8" s="2223"/>
      <c r="L8" s="1243"/>
      <c r="P8" s="2143"/>
      <c r="Q8" s="2143"/>
      <c r="R8" s="281"/>
      <c r="S8" s="1291"/>
      <c r="T8" s="218"/>
      <c r="U8" s="218"/>
      <c r="V8" s="1665"/>
      <c r="W8" s="1665"/>
      <c r="X8" s="1667" t="str">
        <f>Y7&amp;"-"&amp;AA7</f>
        <v>-</v>
      </c>
      <c r="Y8" s="2226"/>
      <c r="Z8" s="2017"/>
      <c r="AA8" s="2226"/>
      <c r="AB8" s="2017"/>
      <c r="AC8" s="1665"/>
      <c r="AD8" s="1665"/>
      <c r="AE8" s="1667" t="str">
        <f>AF7&amp;"-"&amp;AH7</f>
        <v>-</v>
      </c>
      <c r="AF8" s="2226"/>
      <c r="AG8" s="2017"/>
      <c r="AH8" s="2228"/>
      <c r="AI8" s="2017"/>
      <c r="AJ8" s="1704"/>
      <c r="AK8" s="2319"/>
      <c r="AM8" s="428"/>
      <c r="AN8" s="428" t="str">
        <f t="shared" si="0"/>
        <v/>
      </c>
      <c r="AO8" s="428"/>
      <c r="AP8" s="428"/>
    </row>
    <row r="9" spans="1:42" ht="21" hidden="1" customHeight="1">
      <c r="A9" s="1242"/>
      <c r="B9" s="1242"/>
      <c r="C9" s="1242"/>
      <c r="D9" s="1242"/>
      <c r="E9" s="2222"/>
      <c r="F9" s="2222"/>
      <c r="G9" s="2222"/>
      <c r="H9" s="2222"/>
      <c r="I9" s="2224"/>
      <c r="J9" s="2223"/>
      <c r="K9" s="1242"/>
      <c r="L9" s="1243"/>
      <c r="P9" s="2143"/>
      <c r="Q9" s="2143"/>
      <c r="R9" s="280"/>
      <c r="S9" s="1159"/>
      <c r="T9" s="205" t="s">
        <v>1683</v>
      </c>
      <c r="U9" s="294"/>
      <c r="V9" s="294"/>
      <c r="W9" s="294"/>
      <c r="X9" s="294"/>
      <c r="Y9" s="294"/>
      <c r="Z9" s="294"/>
      <c r="AA9" s="294"/>
      <c r="AB9" s="294"/>
      <c r="AC9" s="294"/>
      <c r="AD9" s="294"/>
      <c r="AE9" s="294"/>
      <c r="AF9" s="294"/>
      <c r="AG9" s="294"/>
      <c r="AH9" s="294"/>
      <c r="AI9" s="294"/>
      <c r="AJ9" s="294"/>
      <c r="AK9" s="1138" t="s">
        <v>1684</v>
      </c>
      <c r="AM9" s="428"/>
      <c r="AN9" s="428" t="str">
        <f t="shared" si="0"/>
        <v>Добавить значение признака дифференциации</v>
      </c>
      <c r="AO9" s="428"/>
      <c r="AP9" s="428"/>
    </row>
    <row r="10" spans="1:42" ht="21" hidden="1" customHeight="1">
      <c r="A10" s="1242"/>
      <c r="B10" s="1242"/>
      <c r="C10" s="1242"/>
      <c r="D10" s="1242"/>
      <c r="E10" s="2222"/>
      <c r="F10" s="2222"/>
      <c r="G10" s="2222"/>
      <c r="H10" s="2222"/>
      <c r="I10" s="2223"/>
      <c r="J10" s="1242"/>
      <c r="K10" s="1242"/>
      <c r="L10" s="1243"/>
      <c r="P10" s="2143"/>
      <c r="Q10" s="1289"/>
      <c r="R10" s="280"/>
      <c r="S10" s="1159"/>
      <c r="T10" s="291" t="s">
        <v>1478</v>
      </c>
      <c r="U10" s="294"/>
      <c r="V10" s="294"/>
      <c r="W10" s="294"/>
      <c r="X10" s="294"/>
      <c r="Y10" s="294"/>
      <c r="Z10" s="294"/>
      <c r="AA10" s="294"/>
      <c r="AB10" s="293"/>
      <c r="AC10" s="294"/>
      <c r="AD10" s="294"/>
      <c r="AE10" s="294"/>
      <c r="AF10" s="294"/>
      <c r="AG10" s="294"/>
      <c r="AH10" s="294"/>
      <c r="AI10" s="293"/>
      <c r="AJ10" s="294"/>
      <c r="AK10" s="1305"/>
      <c r="AM10" s="428"/>
      <c r="AN10" s="428" t="str">
        <f t="shared" si="0"/>
        <v>Добавить группу потребителей</v>
      </c>
      <c r="AO10" s="428"/>
      <c r="AP10" s="428"/>
    </row>
    <row r="11" spans="1:42" ht="21" hidden="1" customHeight="1">
      <c r="A11" s="1242"/>
      <c r="B11" s="1242"/>
      <c r="C11" s="1242"/>
      <c r="D11" s="1242"/>
      <c r="E11" s="2222"/>
      <c r="F11" s="2222"/>
      <c r="G11" s="2222"/>
      <c r="H11" s="2221"/>
      <c r="I11" s="1242"/>
      <c r="J11" s="1242"/>
      <c r="K11" s="1242"/>
      <c r="L11" s="1243"/>
      <c r="M11" s="1244"/>
      <c r="N11" s="1244"/>
      <c r="O11" s="464"/>
      <c r="P11" s="284"/>
      <c r="Q11" s="303"/>
      <c r="R11" s="279"/>
      <c r="S11" s="1159"/>
      <c r="T11" s="299" t="s">
        <v>1685</v>
      </c>
      <c r="U11" s="294"/>
      <c r="V11" s="294"/>
      <c r="W11" s="294"/>
      <c r="X11" s="294"/>
      <c r="Y11" s="294"/>
      <c r="Z11" s="294"/>
      <c r="AA11" s="294"/>
      <c r="AB11" s="293"/>
      <c r="AC11" s="294"/>
      <c r="AD11" s="294"/>
      <c r="AE11" s="294"/>
      <c r="AF11" s="294"/>
      <c r="AG11" s="294"/>
      <c r="AH11" s="294"/>
      <c r="AI11" s="293"/>
      <c r="AJ11" s="294"/>
      <c r="AK11" s="221"/>
      <c r="AM11" s="428"/>
      <c r="AN11" s="428" t="str">
        <f t="shared" si="0"/>
        <v>Добавить наименование признака дифференциации</v>
      </c>
      <c r="AO11" s="428"/>
      <c r="AP11" s="428"/>
    </row>
    <row r="12" spans="1:42" s="1755" customFormat="1" ht="0.75" hidden="1" customHeight="1">
      <c r="A12" s="1226"/>
      <c r="B12" s="1226"/>
      <c r="C12" s="1198"/>
      <c r="D12" s="1198"/>
      <c r="E12" s="2222"/>
      <c r="F12" s="2221"/>
      <c r="G12" s="1198"/>
      <c r="H12" s="1198"/>
      <c r="I12" s="1198"/>
      <c r="J12" s="1198"/>
      <c r="K12" s="1198"/>
      <c r="L12" s="1293"/>
      <c r="M12" s="1205"/>
      <c r="N12" s="1205"/>
      <c r="P12" s="1200"/>
      <c r="Q12" s="1201"/>
      <c r="R12" s="1200"/>
      <c r="S12" s="1206"/>
      <c r="T12" s="1209" t="s">
        <v>1439</v>
      </c>
      <c r="U12" s="1208"/>
      <c r="V12" s="1208"/>
      <c r="W12" s="1208"/>
      <c r="X12" s="1208"/>
      <c r="Y12" s="1208"/>
      <c r="Z12" s="1208"/>
      <c r="AA12" s="1208"/>
      <c r="AB12" s="1208"/>
      <c r="AC12" s="1208"/>
      <c r="AD12" s="1208"/>
      <c r="AE12" s="1208"/>
      <c r="AF12" s="1208"/>
      <c r="AG12" s="1208"/>
      <c r="AH12" s="1208"/>
      <c r="AI12" s="1208"/>
      <c r="AJ12" s="1208"/>
      <c r="AK12" s="1208"/>
      <c r="AM12" s="695"/>
      <c r="AN12" s="695" t="str">
        <f t="shared" si="0"/>
        <v>Добавить централизованную систему для дифференциации</v>
      </c>
      <c r="AO12" s="695"/>
      <c r="AP12" s="695"/>
    </row>
    <row r="13" spans="1:42" s="1755" customFormat="1" ht="0.75" hidden="1" customHeight="1">
      <c r="A13" s="1226"/>
      <c r="B13" s="1226"/>
      <c r="C13" s="1226"/>
      <c r="D13" s="1226"/>
      <c r="E13" s="2221"/>
      <c r="F13" s="1226"/>
      <c r="G13" s="1226"/>
      <c r="H13" s="1226"/>
      <c r="I13" s="1226"/>
      <c r="J13" s="1226"/>
      <c r="K13" s="1226"/>
      <c r="L13" s="1229"/>
      <c r="M13" s="1205"/>
      <c r="N13" s="1205"/>
      <c r="O13" s="446"/>
      <c r="P13" s="311"/>
      <c r="Q13" s="1227"/>
      <c r="R13" s="311"/>
      <c r="S13" s="1206"/>
      <c r="T13" s="1209" t="s">
        <v>1440</v>
      </c>
      <c r="U13" s="1208"/>
      <c r="V13" s="1208"/>
      <c r="W13" s="1208"/>
      <c r="X13" s="1208"/>
      <c r="Y13" s="1208"/>
      <c r="Z13" s="1208"/>
      <c r="AA13" s="1208"/>
      <c r="AB13" s="1208"/>
      <c r="AC13" s="1208"/>
      <c r="AD13" s="1208"/>
      <c r="AE13" s="1208"/>
      <c r="AF13" s="1208"/>
      <c r="AG13" s="1208"/>
      <c r="AH13" s="1208"/>
      <c r="AI13" s="1208"/>
      <c r="AJ13" s="1208"/>
      <c r="AK13" s="1208"/>
      <c r="AM13" s="428"/>
      <c r="AN13" s="428" t="str">
        <f t="shared" si="0"/>
        <v>Добавить территорию для дифференциации</v>
      </c>
      <c r="AO13" s="428"/>
      <c r="AP13" s="428"/>
    </row>
    <row r="14" spans="1:42" ht="14.25" hidden="1" customHeight="1">
      <c r="AB14" s="254"/>
      <c r="AI14" s="254"/>
    </row>
    <row r="15" spans="1:42" ht="14.25" hidden="1" customHeight="1">
      <c r="AC15" s="1668"/>
      <c r="AD15" s="1668"/>
      <c r="AE15" s="1669"/>
      <c r="AF15" s="2219"/>
      <c r="AG15" s="2218" t="s">
        <v>62</v>
      </c>
      <c r="AH15" s="2219"/>
      <c r="AI15" s="2218" t="s">
        <v>62</v>
      </c>
    </row>
    <row r="16" spans="1:42" ht="14.25" hidden="1" customHeight="1">
      <c r="AC16" s="1668"/>
      <c r="AD16" s="1668"/>
      <c r="AE16" s="1667" t="str">
        <f>AF15&amp;"-"&amp;AH15</f>
        <v>-</v>
      </c>
      <c r="AF16" s="2218"/>
      <c r="AG16" s="2218"/>
      <c r="AH16" s="2218"/>
      <c r="AI16" s="2218"/>
    </row>
    <row r="17" spans="1:42" ht="14.25" hidden="1" customHeight="1">
      <c r="AI17" s="254"/>
    </row>
    <row r="18" spans="1:42" s="1742" customFormat="1" ht="22.5" hidden="1" customHeight="1">
      <c r="L18" s="1288"/>
      <c r="M18" s="1241"/>
      <c r="N18" s="1241"/>
      <c r="O18" s="1246" t="s">
        <v>1480</v>
      </c>
      <c r="P18" s="1241"/>
      <c r="Q18" s="1250"/>
      <c r="R18" s="1250"/>
      <c r="S18" s="643"/>
      <c r="Y18" s="1246"/>
      <c r="AA18" s="1246"/>
      <c r="AB18" s="1245"/>
      <c r="AF18" s="1246"/>
      <c r="AH18" s="1246"/>
      <c r="AI18" s="1245"/>
      <c r="AL18" s="439"/>
      <c r="AM18" s="439"/>
      <c r="AN18" s="439"/>
      <c r="AO18" s="439"/>
      <c r="AP18" s="439"/>
    </row>
    <row r="19" spans="1:42" s="1742" customFormat="1" ht="14.25" hidden="1" customHeight="1">
      <c r="L19" s="1288"/>
      <c r="M19" s="1241"/>
      <c r="N19" s="1241"/>
      <c r="O19" s="1241"/>
      <c r="P19" s="1241"/>
      <c r="Q19" s="1250"/>
      <c r="R19" s="1250"/>
      <c r="S19" s="643"/>
      <c r="AB19" s="1245"/>
      <c r="AI19" s="1245"/>
      <c r="AL19" s="439"/>
      <c r="AM19" s="439"/>
      <c r="AN19" s="439"/>
      <c r="AO19" s="439"/>
      <c r="AP19" s="439"/>
    </row>
    <row r="20" spans="1:42" s="1742" customFormat="1" ht="12" hidden="1" customHeight="1">
      <c r="L20" s="1288"/>
      <c r="M20" s="1241"/>
      <c r="N20" s="1241"/>
      <c r="O20" s="1243" t="s">
        <v>1481</v>
      </c>
      <c r="P20" s="1241"/>
      <c r="Q20" s="1306"/>
      <c r="R20" s="1306"/>
      <c r="S20" s="643"/>
      <c r="T20" s="1034" t="s">
        <v>1482</v>
      </c>
      <c r="Z20" s="111" t="s">
        <v>1483</v>
      </c>
      <c r="AB20" s="111" t="s">
        <v>1484</v>
      </c>
      <c r="AC20" s="1034" t="s">
        <v>1482</v>
      </c>
      <c r="AG20" s="111" t="s">
        <v>1485</v>
      </c>
      <c r="AI20" s="111" t="s">
        <v>1484</v>
      </c>
    </row>
    <row r="21" spans="1:42" ht="14.25" hidden="1" customHeight="1">
      <c r="O21" s="1243"/>
    </row>
    <row r="22" spans="1:42" ht="14.25" hidden="1" customHeight="1">
      <c r="O22" s="1243"/>
    </row>
    <row r="23" spans="1:42" ht="14.25" customHeight="1">
      <c r="Q23" s="304"/>
      <c r="R23" s="304"/>
      <c r="S23" s="1156"/>
      <c r="T23" s="289"/>
      <c r="U23" s="289"/>
      <c r="V23" s="437"/>
      <c r="W23" s="437"/>
      <c r="X23" s="437"/>
      <c r="Y23" s="437"/>
      <c r="Z23" s="437"/>
      <c r="AA23" s="437"/>
      <c r="AB23" s="437"/>
      <c r="AC23" s="437"/>
      <c r="AD23" s="437"/>
      <c r="AE23" s="437"/>
      <c r="AF23" s="437"/>
      <c r="AG23" s="437"/>
      <c r="AH23" s="437"/>
      <c r="AI23" s="437"/>
    </row>
    <row r="24" spans="1:42" ht="32.25" customHeight="1">
      <c r="Q24" s="304"/>
      <c r="R24" s="304"/>
      <c r="S24" s="2065" t="str">
        <f>IF(TEMPLATE_GROUP="P",PT_P_FORM_COLDVSNA_4_NAME_FORM,PT_R_FORM_COLDVSNA_16_NAME_FORM)</f>
        <v>Форма 15. Информация о предложении расчетной величины тарифов организации холодного водоснабжения об установлении тарифов в сфере холодного водоснабжения на очередной период регулирования &lt;1&gt;</v>
      </c>
      <c r="T24" s="2065"/>
      <c r="U24" s="2065"/>
      <c r="V24" s="2065"/>
      <c r="W24" s="2065"/>
      <c r="X24" s="2065"/>
      <c r="Y24" s="2065"/>
      <c r="Z24" s="2065"/>
      <c r="AA24" s="2065"/>
      <c r="AB24" s="2065"/>
      <c r="AC24" s="2065"/>
      <c r="AD24" s="2065"/>
      <c r="AE24" s="2065"/>
      <c r="AF24" s="2065"/>
      <c r="AG24" s="2065"/>
      <c r="AH24" s="2065"/>
      <c r="AI24" s="1114"/>
    </row>
    <row r="25" spans="1:42" ht="14.25" customHeight="1">
      <c r="Q25" s="304"/>
      <c r="R25" s="304"/>
      <c r="S25" s="2088" t="str">
        <f>IF(org=0,"Не определено",org)</f>
        <v>МУП г. Астрахани "Коммунэнерго"</v>
      </c>
      <c r="T25" s="2088"/>
      <c r="U25" s="2088"/>
      <c r="V25" s="2088"/>
      <c r="W25" s="2088"/>
      <c r="X25" s="2088"/>
      <c r="Y25" s="2088"/>
      <c r="Z25" s="2088"/>
      <c r="AA25" s="2088"/>
      <c r="AB25" s="2088"/>
      <c r="AC25" s="2088"/>
      <c r="AD25" s="2088"/>
      <c r="AE25" s="2088"/>
      <c r="AF25" s="2088"/>
      <c r="AG25" s="2088"/>
      <c r="AH25" s="2088"/>
      <c r="AI25" s="1114"/>
    </row>
    <row r="26" spans="1:42" ht="14.25" hidden="1" customHeight="1">
      <c r="Q26" s="304"/>
      <c r="R26" s="304"/>
      <c r="S26" s="1156"/>
      <c r="T26" s="289"/>
      <c r="U26" s="289"/>
      <c r="V26" s="248"/>
      <c r="W26" s="248"/>
      <c r="X26" s="248"/>
      <c r="Y26" s="248"/>
      <c r="Z26" s="248"/>
      <c r="AA26" s="248"/>
      <c r="AB26" s="248"/>
      <c r="AC26" s="248"/>
      <c r="AD26" s="248"/>
      <c r="AE26" s="248"/>
      <c r="AF26" s="248"/>
      <c r="AG26" s="248"/>
      <c r="AH26" s="248"/>
      <c r="AI26" s="248"/>
      <c r="AJ26" s="437"/>
    </row>
    <row r="27" spans="1:42" s="1933" customFormat="1" ht="25.5" hidden="1" customHeight="1">
      <c r="A27" s="1247"/>
      <c r="B27" s="1247"/>
      <c r="C27" s="1247"/>
      <c r="D27" s="1247"/>
      <c r="E27" s="1247"/>
      <c r="F27" s="1247"/>
      <c r="G27" s="1247"/>
      <c r="H27" s="1247"/>
      <c r="I27" s="1247"/>
      <c r="J27" s="1247"/>
      <c r="K27" s="1247"/>
      <c r="L27" s="1248"/>
      <c r="M27" s="1247"/>
      <c r="N27" s="1247"/>
      <c r="O27" s="1247"/>
      <c r="S27" s="2213" t="s">
        <v>38</v>
      </c>
      <c r="T27" s="2213"/>
      <c r="U27" s="1251"/>
      <c r="V27" s="2214" t="str">
        <f>IF(TITLE_NAME_OR_PR_CHANGE="",IF(TITLE_NAME_OR_PR="","",TITLE_NAME_OR_PR),TITLE_NAME_OR_PR_CHANGE)</f>
        <v/>
      </c>
      <c r="W27" s="2214"/>
      <c r="X27" s="2214"/>
      <c r="Y27" s="2214"/>
      <c r="Z27" s="2214"/>
      <c r="AA27" s="2214"/>
      <c r="AB27" s="253"/>
      <c r="AC27" s="2214" t="str">
        <f>IF(TITLE_NAME_OR_PR_CHANGE="",IF(TITLE_NAME_OR_PR="","",TITLE_NAME_OR_PR),TITLE_NAME_OR_PR_CHANGE)</f>
        <v/>
      </c>
      <c r="AD27" s="2214"/>
      <c r="AE27" s="2214"/>
      <c r="AF27" s="2214"/>
      <c r="AG27" s="2214"/>
      <c r="AH27" s="2214"/>
      <c r="AI27" s="253"/>
      <c r="AJ27" s="253"/>
      <c r="AK27" s="199"/>
      <c r="AL27" s="295"/>
      <c r="AM27" s="295"/>
      <c r="AN27" s="295"/>
      <c r="AO27" s="295"/>
      <c r="AP27" s="295"/>
    </row>
    <row r="28" spans="1:42" s="1933" customFormat="1" ht="18.75" hidden="1" customHeight="1">
      <c r="A28" s="1247"/>
      <c r="B28" s="1247"/>
      <c r="C28" s="1247"/>
      <c r="D28" s="1247"/>
      <c r="E28" s="1247"/>
      <c r="F28" s="1247"/>
      <c r="G28" s="1247"/>
      <c r="H28" s="1247"/>
      <c r="I28" s="1247"/>
      <c r="J28" s="1247"/>
      <c r="K28" s="1247"/>
      <c r="L28" s="1248"/>
      <c r="M28" s="1247"/>
      <c r="N28" s="1247"/>
      <c r="O28" s="1247"/>
      <c r="S28" s="2213" t="s">
        <v>1486</v>
      </c>
      <c r="T28" s="2213"/>
      <c r="U28" s="1251"/>
      <c r="V28" s="2214" t="str">
        <f>IF(TITLE_DATE_CHANGE_PERIOD="",IF(TITLE_DATE_PR="","",TITLE_DATE_PR),TITLE_DATE_CHANGE_PERIOD)</f>
        <v/>
      </c>
      <c r="W28" s="2214"/>
      <c r="X28" s="2214"/>
      <c r="Y28" s="2214"/>
      <c r="Z28" s="2214"/>
      <c r="AA28" s="2214"/>
      <c r="AB28" s="253"/>
      <c r="AC28" s="2214" t="str">
        <f>IF(TITLE_DATE_CHANGE_PERIOD="",IF(TITLE_DATE_PR="","",TITLE_DATE_PR),TITLE_DATE_CHANGE_PERIOD)</f>
        <v/>
      </c>
      <c r="AD28" s="2214"/>
      <c r="AE28" s="2214"/>
      <c r="AF28" s="2214"/>
      <c r="AG28" s="2214"/>
      <c r="AH28" s="2214"/>
      <c r="AI28" s="253"/>
      <c r="AJ28" s="253"/>
      <c r="AK28" s="199"/>
      <c r="AL28" s="295"/>
      <c r="AM28" s="295"/>
      <c r="AN28" s="295"/>
      <c r="AO28" s="295"/>
      <c r="AP28" s="295"/>
    </row>
    <row r="29" spans="1:42" s="1933" customFormat="1" ht="18.75" hidden="1" customHeight="1">
      <c r="A29" s="1247"/>
      <c r="B29" s="1247"/>
      <c r="C29" s="1247"/>
      <c r="D29" s="1247"/>
      <c r="E29" s="1247"/>
      <c r="F29" s="1247"/>
      <c r="G29" s="1247"/>
      <c r="H29" s="1247"/>
      <c r="I29" s="1247"/>
      <c r="J29" s="1247"/>
      <c r="K29" s="1247"/>
      <c r="L29" s="1248"/>
      <c r="M29" s="1247"/>
      <c r="N29" s="1247"/>
      <c r="O29" s="1247"/>
      <c r="S29" s="2213" t="s">
        <v>1487</v>
      </c>
      <c r="T29" s="2213"/>
      <c r="U29" s="1251"/>
      <c r="V29" s="2214" t="str">
        <f>IF(TITLE_NUMBER_PR_CHANGE="",IF(TITLE_NUMBER_PR="","",TITLE_NUMBER_PR),TITLE_NUMBER_PR_CHANGE)</f>
        <v/>
      </c>
      <c r="W29" s="2214"/>
      <c r="X29" s="2214"/>
      <c r="Y29" s="2214"/>
      <c r="Z29" s="2214"/>
      <c r="AA29" s="2214"/>
      <c r="AB29" s="253"/>
      <c r="AC29" s="2214" t="str">
        <f>IF(TITLE_NUMBER_PR_CHANGE="",IF(TITLE_NUMBER_PR="","",TITLE_NUMBER_PR),TITLE_NUMBER_PR_CHANGE)</f>
        <v/>
      </c>
      <c r="AD29" s="2214"/>
      <c r="AE29" s="2214"/>
      <c r="AF29" s="2214"/>
      <c r="AG29" s="2214"/>
      <c r="AH29" s="2214"/>
      <c r="AI29" s="253"/>
      <c r="AJ29" s="253"/>
      <c r="AK29" s="199"/>
      <c r="AL29" s="295"/>
      <c r="AM29" s="295"/>
      <c r="AN29" s="295"/>
      <c r="AO29" s="295"/>
      <c r="AP29" s="295"/>
    </row>
    <row r="30" spans="1:42" s="1933" customFormat="1" ht="18.75" hidden="1" customHeight="1">
      <c r="A30" s="1247"/>
      <c r="B30" s="1247"/>
      <c r="C30" s="1247"/>
      <c r="D30" s="1247"/>
      <c r="E30" s="1247"/>
      <c r="F30" s="1247"/>
      <c r="G30" s="1247"/>
      <c r="H30" s="1247"/>
      <c r="I30" s="1247"/>
      <c r="J30" s="1247"/>
      <c r="K30" s="1247"/>
      <c r="L30" s="1248"/>
      <c r="M30" s="1247"/>
      <c r="N30" s="1247"/>
      <c r="O30" s="1247"/>
      <c r="S30" s="2213" t="s">
        <v>39</v>
      </c>
      <c r="T30" s="2213"/>
      <c r="U30" s="1251"/>
      <c r="V30" s="2214" t="str">
        <f>IF(TITLE_IST_PUB_CHANGE="",IF(TITLE_IST_PUB="","",TITLE_IST_PUB),TITLE_IST_PUB_CHANGE)</f>
        <v/>
      </c>
      <c r="W30" s="2214"/>
      <c r="X30" s="2214"/>
      <c r="Y30" s="2214"/>
      <c r="Z30" s="2214"/>
      <c r="AA30" s="2214"/>
      <c r="AB30" s="253"/>
      <c r="AC30" s="2214" t="str">
        <f>IF(TITLE_IST_PUB_CHANGE="",IF(TITLE_IST_PUB="","",TITLE_IST_PUB),TITLE_IST_PUB_CHANGE)</f>
        <v/>
      </c>
      <c r="AD30" s="2214"/>
      <c r="AE30" s="2214"/>
      <c r="AF30" s="2214"/>
      <c r="AG30" s="2214"/>
      <c r="AH30" s="2214"/>
      <c r="AI30" s="253"/>
      <c r="AJ30" s="253"/>
      <c r="AK30" s="199"/>
      <c r="AL30" s="295"/>
      <c r="AM30" s="295"/>
      <c r="AN30" s="295"/>
      <c r="AO30" s="295"/>
      <c r="AP30" s="295"/>
    </row>
    <row r="31" spans="1:42" ht="14.25" hidden="1" customHeight="1">
      <c r="Q31" s="304"/>
      <c r="R31" s="304"/>
      <c r="S31" s="1156"/>
      <c r="T31" s="289"/>
      <c r="U31" s="289"/>
      <c r="V31" s="248"/>
      <c r="W31" s="248"/>
      <c r="X31" s="248"/>
      <c r="Y31" s="248"/>
      <c r="Z31" s="248"/>
      <c r="AA31" s="248"/>
      <c r="AB31" s="248"/>
      <c r="AC31" s="248"/>
      <c r="AD31" s="248"/>
      <c r="AE31" s="248"/>
      <c r="AF31" s="248"/>
      <c r="AG31" s="248"/>
      <c r="AH31" s="248"/>
      <c r="AI31" s="248"/>
      <c r="AJ31" s="437"/>
    </row>
    <row r="32" spans="1:42" s="1933" customFormat="1" ht="18.75" hidden="1" customHeight="1">
      <c r="A32" s="1247"/>
      <c r="B32" s="1247"/>
      <c r="C32" s="1247"/>
      <c r="D32" s="1247"/>
      <c r="E32" s="1247"/>
      <c r="F32" s="1247"/>
      <c r="G32" s="1247"/>
      <c r="H32" s="1247"/>
      <c r="I32" s="1247"/>
      <c r="J32" s="1247"/>
      <c r="K32" s="1247"/>
      <c r="L32" s="1248"/>
      <c r="M32" s="1247"/>
      <c r="N32" s="1247"/>
      <c r="O32" s="1247"/>
      <c r="S32" s="2213" t="s">
        <v>1488</v>
      </c>
      <c r="T32" s="2213"/>
      <c r="U32" s="1251"/>
      <c r="V32" s="2214" t="str">
        <f>IF(TITLE_DATE_CHANGE_PERIOD="",IF(TITLE_DATE_PR="","",TITLE_DATE_PR),TITLE_DATE_CHANGE_PERIOD)</f>
        <v/>
      </c>
      <c r="W32" s="2214"/>
      <c r="X32" s="2214"/>
      <c r="Y32" s="2214"/>
      <c r="Z32" s="2214"/>
      <c r="AA32" s="2214"/>
      <c r="AB32" s="253"/>
      <c r="AC32" s="2214" t="str">
        <f>IF(TITLE_DATE_CHANGE_PERIOD="",IF(TITLE_DATE_PR="","",TITLE_DATE_PR),TITLE_DATE_CHANGE_PERIOD)</f>
        <v/>
      </c>
      <c r="AD32" s="2214"/>
      <c r="AE32" s="2214"/>
      <c r="AF32" s="2214"/>
      <c r="AG32" s="2214"/>
      <c r="AH32" s="2214"/>
      <c r="AI32" s="253"/>
      <c r="AJ32" s="253"/>
      <c r="AK32" s="199"/>
      <c r="AL32" s="295"/>
      <c r="AM32" s="295"/>
      <c r="AN32" s="295"/>
      <c r="AO32" s="295"/>
      <c r="AP32" s="295"/>
    </row>
    <row r="33" spans="1:42" s="1933" customFormat="1" ht="18.75" hidden="1" customHeight="1">
      <c r="A33" s="1247"/>
      <c r="B33" s="1247"/>
      <c r="C33" s="1247"/>
      <c r="D33" s="1247"/>
      <c r="E33" s="1247"/>
      <c r="F33" s="1247"/>
      <c r="G33" s="1247"/>
      <c r="H33" s="1247"/>
      <c r="I33" s="1247"/>
      <c r="J33" s="1247"/>
      <c r="K33" s="1247"/>
      <c r="L33" s="1248"/>
      <c r="M33" s="1247"/>
      <c r="N33" s="1247"/>
      <c r="O33" s="1247"/>
      <c r="S33" s="2213" t="s">
        <v>1489</v>
      </c>
      <c r="T33" s="2213"/>
      <c r="U33" s="1251"/>
      <c r="V33" s="2214" t="str">
        <f>IF(TITLE_NUMBER_PR_CHANGE="",IF(TITLE_NUMBER_PR="","",TITLE_NUMBER_PR),TITLE_NUMBER_PR_CHANGE)</f>
        <v/>
      </c>
      <c r="W33" s="2214"/>
      <c r="X33" s="2214"/>
      <c r="Y33" s="2214"/>
      <c r="Z33" s="2214"/>
      <c r="AA33" s="2214"/>
      <c r="AB33" s="253"/>
      <c r="AC33" s="2214" t="str">
        <f>IF(TITLE_NUMBER_PR_CHANGE="",IF(TITLE_NUMBER_PR="","",TITLE_NUMBER_PR),TITLE_NUMBER_PR_CHANGE)</f>
        <v/>
      </c>
      <c r="AD33" s="2214"/>
      <c r="AE33" s="2214"/>
      <c r="AF33" s="2214"/>
      <c r="AG33" s="2214"/>
      <c r="AH33" s="2214"/>
      <c r="AI33" s="253"/>
      <c r="AJ33" s="253"/>
      <c r="AK33" s="199"/>
      <c r="AL33" s="295"/>
      <c r="AM33" s="295"/>
      <c r="AN33" s="295"/>
      <c r="AO33" s="295"/>
      <c r="AP33" s="295"/>
    </row>
    <row r="34" spans="1:42" s="1933" customFormat="1" ht="0.75" customHeight="1">
      <c r="A34" s="1247"/>
      <c r="B34" s="1247"/>
      <c r="C34" s="1247"/>
      <c r="D34" s="1247"/>
      <c r="E34" s="1247"/>
      <c r="F34" s="1247"/>
      <c r="G34" s="1247"/>
      <c r="H34" s="1247"/>
      <c r="I34" s="1247"/>
      <c r="J34" s="1247"/>
      <c r="K34" s="1247"/>
      <c r="L34" s="1248"/>
      <c r="M34" s="1247"/>
      <c r="N34" s="1247"/>
      <c r="O34" s="1247"/>
      <c r="S34" s="250"/>
      <c r="T34" s="250"/>
      <c r="U34" s="1236"/>
      <c r="V34" s="253"/>
      <c r="W34" s="253"/>
      <c r="X34" s="253"/>
      <c r="Y34" s="253"/>
      <c r="Z34" s="253"/>
      <c r="AA34" s="253"/>
      <c r="AB34" s="197" t="s">
        <v>1490</v>
      </c>
      <c r="AC34" s="253"/>
      <c r="AD34" s="253"/>
      <c r="AE34" s="253"/>
      <c r="AF34" s="253"/>
      <c r="AG34" s="253"/>
      <c r="AH34" s="253"/>
      <c r="AI34" s="197" t="s">
        <v>1490</v>
      </c>
      <c r="AL34" s="295"/>
      <c r="AM34" s="295"/>
      <c r="AN34" s="295"/>
      <c r="AO34" s="295"/>
      <c r="AP34" s="295"/>
    </row>
    <row r="35" spans="1:42" ht="14.25" customHeight="1">
      <c r="Q35" s="304"/>
      <c r="R35" s="304"/>
      <c r="S35" s="1156"/>
      <c r="T35" s="289"/>
      <c r="U35" s="1115"/>
      <c r="V35" s="2232"/>
      <c r="W35" s="2232"/>
      <c r="X35" s="2232"/>
      <c r="Y35" s="2232"/>
      <c r="Z35" s="2232"/>
      <c r="AA35" s="2232"/>
      <c r="AB35" s="2232"/>
      <c r="AC35" s="2232"/>
      <c r="AD35" s="2232"/>
      <c r="AE35" s="2232"/>
      <c r="AF35" s="2232"/>
      <c r="AG35" s="2232"/>
      <c r="AH35" s="2232"/>
      <c r="AI35" s="2232"/>
    </row>
    <row r="36" spans="1:42" ht="14.25" customHeight="1">
      <c r="Q36" s="304"/>
      <c r="R36" s="304"/>
      <c r="S36" s="2007" t="s">
        <v>292</v>
      </c>
      <c r="T36" s="2007"/>
      <c r="U36" s="2007"/>
      <c r="V36" s="2007"/>
      <c r="W36" s="2007"/>
      <c r="X36" s="2007"/>
      <c r="Y36" s="2007"/>
      <c r="Z36" s="2007"/>
      <c r="AA36" s="2007"/>
      <c r="AB36" s="2007"/>
      <c r="AC36" s="2007"/>
      <c r="AD36" s="2007"/>
      <c r="AE36" s="2007"/>
      <c r="AF36" s="2007"/>
      <c r="AG36" s="2007"/>
      <c r="AH36" s="2007"/>
      <c r="AI36" s="2007"/>
      <c r="AJ36" s="2007"/>
      <c r="AK36" s="2007" t="s">
        <v>293</v>
      </c>
    </row>
    <row r="37" spans="1:42" ht="14.25" customHeight="1">
      <c r="Q37" s="304"/>
      <c r="R37" s="304"/>
      <c r="S37" s="2233" t="s">
        <v>87</v>
      </c>
      <c r="T37" s="2097" t="s">
        <v>1491</v>
      </c>
      <c r="U37" s="219"/>
      <c r="V37" s="2234" t="s">
        <v>1492</v>
      </c>
      <c r="W37" s="2235"/>
      <c r="X37" s="2235"/>
      <c r="Y37" s="2235"/>
      <c r="Z37" s="2235"/>
      <c r="AA37" s="2236"/>
      <c r="AB37" s="2237" t="s">
        <v>1493</v>
      </c>
      <c r="AC37" s="2234" t="s">
        <v>1492</v>
      </c>
      <c r="AD37" s="2235"/>
      <c r="AE37" s="2235"/>
      <c r="AF37" s="2235"/>
      <c r="AG37" s="2235"/>
      <c r="AH37" s="2236"/>
      <c r="AI37" s="2237" t="s">
        <v>1494</v>
      </c>
      <c r="AJ37" s="2240" t="s">
        <v>1495</v>
      </c>
      <c r="AK37" s="2007"/>
    </row>
    <row r="38" spans="1:42" ht="33.75" customHeight="1">
      <c r="Q38" s="304"/>
      <c r="R38" s="304"/>
      <c r="S38" s="2233"/>
      <c r="T38" s="2097"/>
      <c r="U38" s="924"/>
      <c r="V38" s="1233" t="s">
        <v>1686</v>
      </c>
      <c r="W38" s="1989" t="s">
        <v>1498</v>
      </c>
      <c r="X38" s="1988"/>
      <c r="Y38" s="1989" t="s">
        <v>1499</v>
      </c>
      <c r="Z38" s="1994"/>
      <c r="AA38" s="1988"/>
      <c r="AB38" s="2238"/>
      <c r="AC38" s="1233" t="s">
        <v>1686</v>
      </c>
      <c r="AD38" s="1989" t="s">
        <v>1498</v>
      </c>
      <c r="AE38" s="1988"/>
      <c r="AF38" s="1989" t="s">
        <v>1499</v>
      </c>
      <c r="AG38" s="1994"/>
      <c r="AH38" s="1988"/>
      <c r="AI38" s="2238"/>
      <c r="AJ38" s="2241"/>
      <c r="AK38" s="2007"/>
    </row>
    <row r="39" spans="1:42" ht="33.75" customHeight="1">
      <c r="A39" s="1249"/>
      <c r="B39" s="1249" t="s">
        <v>136</v>
      </c>
      <c r="C39" s="1249" t="s">
        <v>137</v>
      </c>
      <c r="D39" s="1249" t="s">
        <v>138</v>
      </c>
      <c r="E39" s="1243" t="s">
        <v>1500</v>
      </c>
      <c r="F39" s="1243" t="s">
        <v>1501</v>
      </c>
      <c r="G39" s="1243" t="s">
        <v>1502</v>
      </c>
      <c r="H39" s="1243"/>
      <c r="I39" s="1243" t="s">
        <v>1687</v>
      </c>
      <c r="J39" s="1243" t="s">
        <v>1505</v>
      </c>
      <c r="K39" s="1243" t="s">
        <v>1688</v>
      </c>
      <c r="L39" s="1243" t="s">
        <v>1481</v>
      </c>
      <c r="Q39" s="304"/>
      <c r="R39" s="304"/>
      <c r="S39" s="2233"/>
      <c r="T39" s="2097"/>
      <c r="U39" s="220"/>
      <c r="V39" s="1233" t="s">
        <v>1689</v>
      </c>
      <c r="W39" s="1090" t="s">
        <v>1690</v>
      </c>
      <c r="X39" s="1090" t="s">
        <v>1691</v>
      </c>
      <c r="Y39" s="1238" t="s">
        <v>1509</v>
      </c>
      <c r="Z39" s="2103" t="s">
        <v>1510</v>
      </c>
      <c r="AA39" s="2117"/>
      <c r="AB39" s="2239"/>
      <c r="AC39" s="1233" t="s">
        <v>1689</v>
      </c>
      <c r="AD39" s="1090" t="s">
        <v>1690</v>
      </c>
      <c r="AE39" s="1090" t="s">
        <v>1691</v>
      </c>
      <c r="AF39" s="1238" t="s">
        <v>1509</v>
      </c>
      <c r="AG39" s="2103" t="s">
        <v>1510</v>
      </c>
      <c r="AH39" s="2117"/>
      <c r="AI39" s="2239"/>
      <c r="AJ39" s="2242"/>
      <c r="AK39" s="2007"/>
    </row>
    <row r="40" spans="1:42" s="1708" customFormat="1" ht="11.25" hidden="1" customHeight="1">
      <c r="A40" s="1249"/>
      <c r="B40" s="1249"/>
      <c r="C40" s="1249"/>
      <c r="D40" s="1249"/>
      <c r="E40" s="1249"/>
      <c r="F40" s="1249"/>
      <c r="G40" s="1249"/>
      <c r="H40" s="1249"/>
      <c r="I40" s="1249"/>
      <c r="J40" s="1249"/>
      <c r="K40" s="1249"/>
      <c r="L40" s="1243"/>
      <c r="M40" s="1241"/>
      <c r="N40" s="1241"/>
      <c r="O40" s="1241"/>
      <c r="P40" s="1117"/>
      <c r="Q40" s="1118"/>
      <c r="R40" s="1133">
        <v>1</v>
      </c>
      <c r="S40" s="1158" t="s">
        <v>108</v>
      </c>
      <c r="T40" s="1134" t="s">
        <v>109</v>
      </c>
      <c r="U40" s="1116" t="str">
        <f ca="1">OFFSET(U40,0,-1)</f>
        <v>2</v>
      </c>
      <c r="V40" s="1234">
        <f ca="1">OFFSET(V40,0,-1)+1</f>
        <v>3</v>
      </c>
      <c r="W40" s="1234">
        <f ca="1">OFFSET(W40,0,-1)+1</f>
        <v>4</v>
      </c>
      <c r="X40" s="1234">
        <f ca="1">OFFSET(X40,0,-1)+1</f>
        <v>5</v>
      </c>
      <c r="Y40" s="1234">
        <f ca="1">OFFSET(Y40,0,-1)+1</f>
        <v>6</v>
      </c>
      <c r="Z40" s="2231">
        <f ca="1">OFFSET(Z40,0,-1)+1</f>
        <v>7</v>
      </c>
      <c r="AA40" s="2231"/>
      <c r="AB40" s="1234">
        <f ca="1">OFFSET(AB40,0,-2)+1</f>
        <v>8</v>
      </c>
      <c r="AC40" s="1234">
        <f ca="1">OFFSET(AC40,0,-1)+1</f>
        <v>9</v>
      </c>
      <c r="AD40" s="1234">
        <f ca="1">OFFSET(AD40,0,-1)+1</f>
        <v>10</v>
      </c>
      <c r="AE40" s="1234">
        <f ca="1">OFFSET(AE40,0,-1)+1</f>
        <v>11</v>
      </c>
      <c r="AF40" s="1234">
        <f ca="1">OFFSET(AF40,0,-1)+1</f>
        <v>12</v>
      </c>
      <c r="AG40" s="2231">
        <f ca="1">OFFSET(AG40,0,-1)+1</f>
        <v>13</v>
      </c>
      <c r="AH40" s="2231"/>
      <c r="AI40" s="1234">
        <f ca="1">OFFSET(AI40,0,-2)+1</f>
        <v>14</v>
      </c>
      <c r="AJ40" s="1116">
        <f ca="1">OFFSET(AJ40,0,-1)</f>
        <v>14</v>
      </c>
      <c r="AK40" s="1234">
        <f ca="1">OFFSET(AK40,0,-1)+1</f>
        <v>15</v>
      </c>
      <c r="AL40" s="439"/>
      <c r="AM40" s="439"/>
      <c r="AN40" s="439"/>
      <c r="AO40" s="439"/>
      <c r="AP40" s="439"/>
    </row>
    <row r="41" spans="1:42" ht="23.25" customHeight="1">
      <c r="A41" s="1242" t="s">
        <v>218</v>
      </c>
      <c r="B41" s="1242"/>
      <c r="C41" s="1242"/>
      <c r="D41" s="1242"/>
      <c r="E41" s="2221">
        <v>1</v>
      </c>
      <c r="F41" s="1242"/>
      <c r="G41" s="1242"/>
      <c r="H41" s="1242"/>
      <c r="I41" s="1242"/>
      <c r="J41" s="1242"/>
      <c r="K41" s="1242"/>
      <c r="L41" s="1243"/>
      <c r="M41" s="1244"/>
      <c r="N41" s="1244"/>
      <c r="O41" s="1244"/>
      <c r="P41" s="285"/>
      <c r="Q41" s="284"/>
      <c r="R41" s="279"/>
      <c r="S41" s="1239">
        <f>INDEX(PT_DIFFERENTIATION_NUM_NTAR,MATCH(A41,PT_DIFFERENTIATION_NTAR_ID,0))</f>
        <v>0</v>
      </c>
      <c r="T41" s="216" t="s">
        <v>124</v>
      </c>
      <c r="U41" s="218"/>
      <c r="V41" s="2215"/>
      <c r="W41" s="2216"/>
      <c r="X41" s="2216"/>
      <c r="Y41" s="2216"/>
      <c r="Z41" s="2216"/>
      <c r="AA41" s="2216"/>
      <c r="AB41" s="2217"/>
      <c r="AC41" s="2215" t="str">
        <f>INDEX(PT_DIFFERENTIATION_NTAR,MATCH(A41,PT_DIFFERENTIATION_NTAR_ID,0))</f>
        <v/>
      </c>
      <c r="AD41" s="2216"/>
      <c r="AE41" s="2216"/>
      <c r="AF41" s="2216"/>
      <c r="AG41" s="2216"/>
      <c r="AH41" s="2216"/>
      <c r="AI41" s="2216"/>
      <c r="AJ41" s="2217"/>
      <c r="AK41" s="1138"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41" s="428"/>
      <c r="AN41" s="428" t="str">
        <f t="shared" ref="AN41:AN53" si="1">IF(T41="","",T41)</f>
        <v>Наименование тарифа</v>
      </c>
      <c r="AO41" s="428"/>
      <c r="AP41" s="428"/>
    </row>
    <row r="42" spans="1:42" ht="23.25" customHeight="1">
      <c r="A42" s="1242" t="s">
        <v>218</v>
      </c>
      <c r="B42" s="1242" t="s">
        <v>219</v>
      </c>
      <c r="C42" s="1242"/>
      <c r="D42" s="1242"/>
      <c r="E42" s="2222"/>
      <c r="F42" s="2221">
        <v>1</v>
      </c>
      <c r="G42" s="1242"/>
      <c r="H42" s="1242"/>
      <c r="I42" s="1242"/>
      <c r="J42" s="1242"/>
      <c r="K42" s="1242"/>
      <c r="L42" s="1243"/>
      <c r="M42" s="1244"/>
      <c r="N42" s="1244"/>
      <c r="O42" s="1244"/>
      <c r="P42" s="1237"/>
      <c r="Q42" s="276"/>
      <c r="R42" s="277"/>
      <c r="S42" s="1239" t="str">
        <f>INDEX(PT_DIFFERENTIATION_NUM_TER,MATCH(B42,PT_DIFFERENTIATION_TER_ID,0))</f>
        <v>.</v>
      </c>
      <c r="T42" s="228" t="s">
        <v>1463</v>
      </c>
      <c r="U42" s="218"/>
      <c r="V42" s="2215"/>
      <c r="W42" s="2216"/>
      <c r="X42" s="2216"/>
      <c r="Y42" s="2216"/>
      <c r="Z42" s="2216"/>
      <c r="AA42" s="2216"/>
      <c r="AB42" s="2217"/>
      <c r="AC42" s="2215" t="str">
        <f>INDEX(PT_DIFFERENTIATION_TER,MATCH(B42,PT_DIFFERENTIATION_TER_ID,0))</f>
        <v/>
      </c>
      <c r="AD42" s="2216"/>
      <c r="AE42" s="2216"/>
      <c r="AF42" s="2216"/>
      <c r="AG42" s="2216"/>
      <c r="AH42" s="2216"/>
      <c r="AI42" s="2216"/>
      <c r="AJ42" s="2217"/>
      <c r="AK42" s="1138" t="s">
        <v>1464</v>
      </c>
      <c r="AM42" s="428"/>
      <c r="AN42" s="428" t="str">
        <f t="shared" si="1"/>
        <v>Территория действия тарифа</v>
      </c>
      <c r="AO42" s="428"/>
      <c r="AP42" s="428"/>
    </row>
    <row r="43" spans="1:42" ht="23.25" customHeight="1">
      <c r="A43" s="1242" t="s">
        <v>218</v>
      </c>
      <c r="B43" s="1242" t="s">
        <v>219</v>
      </c>
      <c r="C43" s="1242" t="s">
        <v>220</v>
      </c>
      <c r="D43" s="1242"/>
      <c r="E43" s="2222"/>
      <c r="F43" s="2222"/>
      <c r="G43" s="2221">
        <v>1</v>
      </c>
      <c r="H43" s="1242"/>
      <c r="I43" s="1242"/>
      <c r="J43" s="1242"/>
      <c r="K43" s="1242"/>
      <c r="L43" s="1243"/>
      <c r="M43" s="1244"/>
      <c r="N43" s="1244"/>
      <c r="O43" s="1244"/>
      <c r="P43" s="278"/>
      <c r="Q43" s="276"/>
      <c r="R43" s="277"/>
      <c r="S43" s="1239" t="str">
        <f>INDEX(PT_DIFFERENTIATION_NUM_CS,MATCH(C43,PT_DIFFERENTIATION_CS_ID,0))</f>
        <v>..</v>
      </c>
      <c r="T43" s="229" t="s">
        <v>1678</v>
      </c>
      <c r="U43" s="218"/>
      <c r="V43" s="2215"/>
      <c r="W43" s="2216"/>
      <c r="X43" s="2216"/>
      <c r="Y43" s="2216"/>
      <c r="Z43" s="2216"/>
      <c r="AA43" s="2216"/>
      <c r="AB43" s="2217"/>
      <c r="AC43" s="2215" t="str">
        <f>INDEX(PT_DIFFERENTIATION_CS,MATCH(C43,PT_DIFFERENTIATION_CS_ID,0))</f>
        <v/>
      </c>
      <c r="AD43" s="2216"/>
      <c r="AE43" s="2216"/>
      <c r="AF43" s="2216"/>
      <c r="AG43" s="2216"/>
      <c r="AH43" s="2216"/>
      <c r="AI43" s="2216"/>
      <c r="AJ43" s="2217"/>
      <c r="AK43" s="1138" t="s">
        <v>1679</v>
      </c>
      <c r="AM43" s="428"/>
      <c r="AN43" s="428" t="str">
        <f t="shared" si="1"/>
        <v>Наименование централизованной системы холодного водоснабжения</v>
      </c>
      <c r="AO43" s="428"/>
      <c r="AP43" s="428"/>
    </row>
    <row r="44" spans="1:42" ht="23.25" customHeight="1">
      <c r="A44" s="1242" t="s">
        <v>218</v>
      </c>
      <c r="B44" s="1242" t="s">
        <v>219</v>
      </c>
      <c r="C44" s="1242" t="s">
        <v>220</v>
      </c>
      <c r="D44" s="1242" t="s">
        <v>1692</v>
      </c>
      <c r="E44" s="2222"/>
      <c r="F44" s="2222"/>
      <c r="G44" s="2222"/>
      <c r="H44" s="2222"/>
      <c r="I44" s="2223" t="str">
        <f>S43&amp;".1"</f>
        <v>...1</v>
      </c>
      <c r="J44" s="1242"/>
      <c r="K44" s="1242"/>
      <c r="L44" s="1243"/>
      <c r="P44" s="2143">
        <v>1</v>
      </c>
      <c r="Q44" s="1235"/>
      <c r="R44" s="280"/>
      <c r="S44" s="1239" t="str">
        <f>$I44</f>
        <v>...1</v>
      </c>
      <c r="T44" s="203" t="s">
        <v>1680</v>
      </c>
      <c r="U44" s="218"/>
      <c r="V44" s="2313"/>
      <c r="W44" s="2314"/>
      <c r="X44" s="2314"/>
      <c r="Y44" s="2314"/>
      <c r="Z44" s="2314"/>
      <c r="AA44" s="2314"/>
      <c r="AB44" s="2315"/>
      <c r="AC44" s="2316"/>
      <c r="AD44" s="2317"/>
      <c r="AE44" s="2317"/>
      <c r="AF44" s="2317"/>
      <c r="AG44" s="2317"/>
      <c r="AH44" s="2317"/>
      <c r="AI44" s="2317"/>
      <c r="AJ44" s="2318"/>
      <c r="AK44" s="1138" t="s">
        <v>1681</v>
      </c>
      <c r="AM44" s="428"/>
      <c r="AN44" s="428" t="str">
        <f t="shared" si="1"/>
        <v>Наименование признака дифференциации</v>
      </c>
      <c r="AO44" s="428"/>
      <c r="AP44" s="428"/>
    </row>
    <row r="45" spans="1:42" ht="23.25" customHeight="1">
      <c r="A45" s="1242" t="s">
        <v>218</v>
      </c>
      <c r="B45" s="1242" t="s">
        <v>219</v>
      </c>
      <c r="C45" s="1242" t="s">
        <v>220</v>
      </c>
      <c r="D45" s="1242" t="s">
        <v>1692</v>
      </c>
      <c r="E45" s="2222"/>
      <c r="F45" s="2222"/>
      <c r="G45" s="2222"/>
      <c r="H45" s="2222"/>
      <c r="I45" s="2224"/>
      <c r="J45" s="2223" t="str">
        <f>I44&amp;".1"</f>
        <v>...1.1</v>
      </c>
      <c r="K45" s="1242"/>
      <c r="L45" s="1243" t="s">
        <v>1472</v>
      </c>
      <c r="P45" s="2143"/>
      <c r="Q45" s="2143">
        <v>1</v>
      </c>
      <c r="R45" s="281"/>
      <c r="S45" s="1239" t="str">
        <f>$J45</f>
        <v>...1.1</v>
      </c>
      <c r="T45" s="204" t="s">
        <v>1473</v>
      </c>
      <c r="U45" s="218"/>
      <c r="V45" s="2210"/>
      <c r="W45" s="2211"/>
      <c r="X45" s="2211"/>
      <c r="Y45" s="2211"/>
      <c r="Z45" s="2211"/>
      <c r="AA45" s="2211"/>
      <c r="AB45" s="2212"/>
      <c r="AC45" s="2210"/>
      <c r="AD45" s="2211"/>
      <c r="AE45" s="2211"/>
      <c r="AF45" s="2211"/>
      <c r="AG45" s="2211"/>
      <c r="AH45" s="2211"/>
      <c r="AI45" s="2211"/>
      <c r="AJ45" s="2212"/>
      <c r="AK45" s="1192" t="s">
        <v>1682</v>
      </c>
      <c r="AM45" s="428"/>
      <c r="AN45" s="428" t="str">
        <f t="shared" si="1"/>
        <v>Группа потребителей</v>
      </c>
      <c r="AO45" s="428"/>
      <c r="AP45" s="428"/>
    </row>
    <row r="46" spans="1:42" ht="23.25" customHeight="1">
      <c r="A46" s="1242" t="s">
        <v>218</v>
      </c>
      <c r="B46" s="1242" t="s">
        <v>219</v>
      </c>
      <c r="C46" s="1242" t="s">
        <v>220</v>
      </c>
      <c r="D46" s="1242" t="s">
        <v>1692</v>
      </c>
      <c r="E46" s="2222"/>
      <c r="F46" s="2222"/>
      <c r="G46" s="2222"/>
      <c r="H46" s="2222"/>
      <c r="I46" s="2224"/>
      <c r="J46" s="2224"/>
      <c r="K46" s="2223" t="str">
        <f>J45&amp;".1"</f>
        <v>...1.1.1</v>
      </c>
      <c r="L46" s="1243"/>
      <c r="P46" s="2143"/>
      <c r="Q46" s="2143"/>
      <c r="R46" s="281">
        <v>1</v>
      </c>
      <c r="S46" s="1239" t="str">
        <f>$K46</f>
        <v>...1.1.1</v>
      </c>
      <c r="T46" s="1304"/>
      <c r="U46" s="218"/>
      <c r="V46" s="1668"/>
      <c r="W46" s="1668"/>
      <c r="X46" s="1669"/>
      <c r="Y46" s="2219"/>
      <c r="Z46" s="2218" t="s">
        <v>62</v>
      </c>
      <c r="AA46" s="2219"/>
      <c r="AB46" s="2218" t="s">
        <v>62</v>
      </c>
      <c r="AC46" s="1664"/>
      <c r="AD46" s="1664"/>
      <c r="AE46" s="1666"/>
      <c r="AF46" s="2225"/>
      <c r="AG46" s="2017" t="s">
        <v>62</v>
      </c>
      <c r="AH46" s="2227"/>
      <c r="AI46" s="2017" t="s">
        <v>55</v>
      </c>
      <c r="AJ46" s="1703"/>
      <c r="AK46" s="2319"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46" s="439" t="e">
        <f ca="1">STRCHECKDATE(V47:AJ47)</f>
        <v>#NAME?</v>
      </c>
      <c r="AM46" s="428"/>
      <c r="AN46" s="428" t="str">
        <f t="shared" si="1"/>
        <v/>
      </c>
      <c r="AO46" s="428"/>
      <c r="AP46" s="428"/>
    </row>
    <row r="47" spans="1:42" ht="0" hidden="1" customHeight="1">
      <c r="A47" s="1242" t="s">
        <v>218</v>
      </c>
      <c r="B47" s="1242" t="s">
        <v>219</v>
      </c>
      <c r="C47" s="1242" t="s">
        <v>220</v>
      </c>
      <c r="D47" s="1242" t="s">
        <v>1692</v>
      </c>
      <c r="E47" s="2222"/>
      <c r="F47" s="2222"/>
      <c r="G47" s="2222"/>
      <c r="H47" s="2222"/>
      <c r="I47" s="2224"/>
      <c r="J47" s="2224"/>
      <c r="K47" s="2223"/>
      <c r="L47" s="1243"/>
      <c r="P47" s="2143"/>
      <c r="Q47" s="2143"/>
      <c r="R47" s="281"/>
      <c r="S47" s="1240"/>
      <c r="T47" s="218"/>
      <c r="U47" s="218"/>
      <c r="V47" s="1668"/>
      <c r="W47" s="1668"/>
      <c r="X47" s="1667" t="str">
        <f>Y46&amp;"-"&amp;AA46</f>
        <v>-</v>
      </c>
      <c r="Y47" s="2218"/>
      <c r="Z47" s="2218"/>
      <c r="AA47" s="2218"/>
      <c r="AB47" s="2218"/>
      <c r="AC47" s="1665"/>
      <c r="AD47" s="1665"/>
      <c r="AE47" s="1667" t="str">
        <f>AF46&amp;"-"&amp;AH46</f>
        <v>-</v>
      </c>
      <c r="AF47" s="2226"/>
      <c r="AG47" s="2017"/>
      <c r="AH47" s="2228"/>
      <c r="AI47" s="2017"/>
      <c r="AJ47" s="1704"/>
      <c r="AK47" s="2319"/>
      <c r="AM47" s="428"/>
      <c r="AN47" s="428" t="str">
        <f t="shared" si="1"/>
        <v/>
      </c>
      <c r="AO47" s="428"/>
      <c r="AP47" s="428"/>
    </row>
    <row r="48" spans="1:42" ht="21" customHeight="1">
      <c r="A48" s="1242" t="s">
        <v>218</v>
      </c>
      <c r="B48" s="1242" t="s">
        <v>219</v>
      </c>
      <c r="C48" s="1242" t="s">
        <v>220</v>
      </c>
      <c r="D48" s="1242" t="s">
        <v>1692</v>
      </c>
      <c r="E48" s="2222"/>
      <c r="F48" s="2222"/>
      <c r="G48" s="2222"/>
      <c r="H48" s="2222"/>
      <c r="I48" s="2224"/>
      <c r="J48" s="2223"/>
      <c r="K48" s="1242"/>
      <c r="L48" s="1243"/>
      <c r="P48" s="2143"/>
      <c r="Q48" s="2143"/>
      <c r="R48" s="280"/>
      <c r="S48" s="1159"/>
      <c r="T48" s="205" t="s">
        <v>1683</v>
      </c>
      <c r="U48" s="294"/>
      <c r="V48" s="294"/>
      <c r="W48" s="294"/>
      <c r="X48" s="294"/>
      <c r="Y48" s="294"/>
      <c r="Z48" s="294"/>
      <c r="AA48" s="294"/>
      <c r="AB48" s="294"/>
      <c r="AC48" s="294"/>
      <c r="AD48" s="294"/>
      <c r="AE48" s="294"/>
      <c r="AF48" s="294"/>
      <c r="AG48" s="294"/>
      <c r="AH48" s="294"/>
      <c r="AI48" s="294"/>
      <c r="AJ48" s="294"/>
      <c r="AK48" s="1138" t="s">
        <v>1684</v>
      </c>
      <c r="AM48" s="428"/>
      <c r="AN48" s="428" t="str">
        <f t="shared" si="1"/>
        <v>Добавить значение признака дифференциации</v>
      </c>
      <c r="AO48" s="428"/>
      <c r="AP48" s="428"/>
    </row>
    <row r="49" spans="1:42" ht="21" customHeight="1">
      <c r="A49" s="1242" t="s">
        <v>218</v>
      </c>
      <c r="B49" s="1242" t="s">
        <v>219</v>
      </c>
      <c r="C49" s="1242" t="s">
        <v>220</v>
      </c>
      <c r="D49" s="1242" t="s">
        <v>1692</v>
      </c>
      <c r="E49" s="2222"/>
      <c r="F49" s="2222"/>
      <c r="G49" s="2222"/>
      <c r="H49" s="2222"/>
      <c r="I49" s="2223"/>
      <c r="J49" s="1242"/>
      <c r="K49" s="1242"/>
      <c r="L49" s="1243"/>
      <c r="P49" s="2143"/>
      <c r="Q49" s="1235"/>
      <c r="R49" s="280"/>
      <c r="S49" s="1159"/>
      <c r="T49" s="291" t="s">
        <v>1478</v>
      </c>
      <c r="U49" s="294"/>
      <c r="V49" s="294"/>
      <c r="W49" s="294"/>
      <c r="X49" s="294"/>
      <c r="Y49" s="294"/>
      <c r="Z49" s="294"/>
      <c r="AA49" s="294"/>
      <c r="AB49" s="293"/>
      <c r="AC49" s="294"/>
      <c r="AD49" s="294"/>
      <c r="AE49" s="294"/>
      <c r="AF49" s="294"/>
      <c r="AG49" s="294"/>
      <c r="AH49" s="294"/>
      <c r="AI49" s="293"/>
      <c r="AJ49" s="294"/>
      <c r="AK49" s="1305"/>
      <c r="AM49" s="428"/>
      <c r="AN49" s="428" t="str">
        <f t="shared" si="1"/>
        <v>Добавить группу потребителей</v>
      </c>
      <c r="AO49" s="428"/>
      <c r="AP49" s="428"/>
    </row>
    <row r="50" spans="1:42" ht="21" customHeight="1">
      <c r="A50" s="1242" t="s">
        <v>218</v>
      </c>
      <c r="B50" s="1242" t="s">
        <v>219</v>
      </c>
      <c r="C50" s="1242" t="s">
        <v>220</v>
      </c>
      <c r="D50" s="1242" t="s">
        <v>1692</v>
      </c>
      <c r="E50" s="2222"/>
      <c r="F50" s="2222"/>
      <c r="G50" s="2222"/>
      <c r="H50" s="2221"/>
      <c r="I50" s="1242"/>
      <c r="J50" s="1242"/>
      <c r="K50" s="1242"/>
      <c r="L50" s="1243"/>
      <c r="M50" s="1244"/>
      <c r="N50" s="1244"/>
      <c r="O50" s="464"/>
      <c r="P50" s="284"/>
      <c r="Q50" s="303"/>
      <c r="R50" s="279"/>
      <c r="S50" s="1159"/>
      <c r="T50" s="299" t="s">
        <v>1685</v>
      </c>
      <c r="U50" s="294"/>
      <c r="V50" s="294"/>
      <c r="W50" s="294"/>
      <c r="X50" s="294"/>
      <c r="Y50" s="294"/>
      <c r="Z50" s="294"/>
      <c r="AA50" s="294"/>
      <c r="AB50" s="293"/>
      <c r="AC50" s="294"/>
      <c r="AD50" s="294"/>
      <c r="AE50" s="294"/>
      <c r="AF50" s="294"/>
      <c r="AG50" s="294"/>
      <c r="AH50" s="294"/>
      <c r="AI50" s="293"/>
      <c r="AJ50" s="294"/>
      <c r="AK50" s="221"/>
      <c r="AM50" s="428"/>
      <c r="AN50" s="428" t="str">
        <f t="shared" si="1"/>
        <v>Добавить наименование признака дифференциации</v>
      </c>
      <c r="AO50" s="428"/>
      <c r="AP50" s="428"/>
    </row>
    <row r="51" spans="1:42" s="1755" customFormat="1" ht="0.75" customHeight="1">
      <c r="A51" s="1226" t="s">
        <v>218</v>
      </c>
      <c r="B51" s="1226" t="s">
        <v>219</v>
      </c>
      <c r="C51" s="1198"/>
      <c r="D51" s="1198"/>
      <c r="E51" s="2222"/>
      <c r="F51" s="2221"/>
      <c r="G51" s="1198"/>
      <c r="H51" s="1198"/>
      <c r="I51" s="1198"/>
      <c r="J51" s="1198"/>
      <c r="K51" s="1198"/>
      <c r="L51" s="1293"/>
      <c r="M51" s="1205"/>
      <c r="N51" s="1205"/>
      <c r="P51" s="1200"/>
      <c r="Q51" s="1201"/>
      <c r="R51" s="1200"/>
      <c r="S51" s="1206"/>
      <c r="T51" s="1209" t="s">
        <v>1439</v>
      </c>
      <c r="U51" s="1208"/>
      <c r="V51" s="1208"/>
      <c r="W51" s="1208"/>
      <c r="X51" s="1208"/>
      <c r="Y51" s="1208"/>
      <c r="Z51" s="1208"/>
      <c r="AA51" s="1208"/>
      <c r="AB51" s="1208"/>
      <c r="AC51" s="1208"/>
      <c r="AD51" s="1208"/>
      <c r="AE51" s="1208"/>
      <c r="AF51" s="1208"/>
      <c r="AG51" s="1208"/>
      <c r="AH51" s="1208"/>
      <c r="AI51" s="1208"/>
      <c r="AJ51" s="1208"/>
      <c r="AK51" s="1208"/>
      <c r="AM51" s="695"/>
      <c r="AN51" s="695" t="str">
        <f t="shared" si="1"/>
        <v>Добавить централизованную систему для дифференциации</v>
      </c>
      <c r="AO51" s="695"/>
      <c r="AP51" s="695"/>
    </row>
    <row r="52" spans="1:42" s="1755" customFormat="1" ht="0.75" customHeight="1">
      <c r="A52" s="1226" t="s">
        <v>218</v>
      </c>
      <c r="B52" s="1226"/>
      <c r="C52" s="1226"/>
      <c r="D52" s="1226"/>
      <c r="E52" s="2221"/>
      <c r="F52" s="1226"/>
      <c r="G52" s="1226"/>
      <c r="H52" s="1226"/>
      <c r="I52" s="1226"/>
      <c r="J52" s="1226"/>
      <c r="K52" s="1226"/>
      <c r="L52" s="1229"/>
      <c r="M52" s="1205"/>
      <c r="N52" s="1205"/>
      <c r="O52" s="446"/>
      <c r="P52" s="311"/>
      <c r="Q52" s="1227"/>
      <c r="R52" s="311"/>
      <c r="S52" s="1206"/>
      <c r="T52" s="1209" t="s">
        <v>1440</v>
      </c>
      <c r="U52" s="1208"/>
      <c r="V52" s="1208"/>
      <c r="W52" s="1208"/>
      <c r="X52" s="1208"/>
      <c r="Y52" s="1208"/>
      <c r="Z52" s="1208"/>
      <c r="AA52" s="1208"/>
      <c r="AB52" s="1208"/>
      <c r="AC52" s="1208"/>
      <c r="AD52" s="1208"/>
      <c r="AE52" s="1208"/>
      <c r="AF52" s="1208"/>
      <c r="AG52" s="1208"/>
      <c r="AH52" s="1208"/>
      <c r="AI52" s="1208"/>
      <c r="AJ52" s="1208"/>
      <c r="AK52" s="1208"/>
      <c r="AM52" s="428"/>
      <c r="AN52" s="428" t="str">
        <f t="shared" si="1"/>
        <v>Добавить территорию для дифференциации</v>
      </c>
      <c r="AO52" s="428"/>
      <c r="AP52" s="428"/>
    </row>
    <row r="53" spans="1:42" s="1755" customFormat="1" ht="0.75" customHeight="1">
      <c r="A53" s="1198"/>
      <c r="B53" s="1198"/>
      <c r="C53" s="1198"/>
      <c r="D53" s="1198"/>
      <c r="E53" s="1226"/>
      <c r="F53" s="1198"/>
      <c r="G53" s="1198"/>
      <c r="H53" s="1198"/>
      <c r="I53" s="1198"/>
      <c r="J53" s="1198"/>
      <c r="K53" s="1198"/>
      <c r="L53" s="1293"/>
      <c r="M53" s="1205"/>
      <c r="N53" s="1205"/>
      <c r="P53" s="1200"/>
      <c r="Q53" s="1201"/>
      <c r="R53" s="1200"/>
      <c r="S53" s="1206"/>
      <c r="T53" s="1209" t="s">
        <v>1441</v>
      </c>
      <c r="U53" s="1208"/>
      <c r="V53" s="1208"/>
      <c r="W53" s="1208"/>
      <c r="X53" s="1208"/>
      <c r="Y53" s="1208"/>
      <c r="Z53" s="1208"/>
      <c r="AA53" s="1208"/>
      <c r="AB53" s="1208"/>
      <c r="AC53" s="1208"/>
      <c r="AD53" s="1208"/>
      <c r="AE53" s="1208"/>
      <c r="AF53" s="1208"/>
      <c r="AG53" s="1208"/>
      <c r="AH53" s="1208"/>
      <c r="AI53" s="1208"/>
      <c r="AJ53" s="1208"/>
      <c r="AK53" s="1208"/>
      <c r="AM53" s="695"/>
      <c r="AN53" s="695" t="str">
        <f t="shared" si="1"/>
        <v>Добавить наименование тарифа</v>
      </c>
      <c r="AO53" s="695"/>
      <c r="AP53" s="695"/>
    </row>
    <row r="54" spans="1:42" ht="11.25" hidden="1" customHeight="1">
      <c r="M54" s="1034"/>
      <c r="N54" s="1034"/>
      <c r="O54" s="464"/>
      <c r="P54" s="1029"/>
      <c r="Q54" s="1029"/>
      <c r="R54" s="1029"/>
      <c r="S54" s="1029"/>
      <c r="AL54" s="1029"/>
      <c r="AM54" s="1029"/>
      <c r="AN54" s="1029"/>
      <c r="AO54" s="1029"/>
      <c r="AP54" s="1029"/>
    </row>
    <row r="55" spans="1:42" ht="14.25" hidden="1" customHeight="1">
      <c r="O55" s="464"/>
      <c r="S55" s="1126" t="s">
        <v>1511</v>
      </c>
      <c r="T55" s="2220" t="s">
        <v>1693</v>
      </c>
      <c r="U55" s="2220"/>
      <c r="V55" s="2220"/>
      <c r="W55" s="2220"/>
      <c r="X55" s="2220"/>
      <c r="Y55" s="2220"/>
      <c r="Z55" s="2220"/>
      <c r="AA55" s="2220"/>
      <c r="AB55" s="2220"/>
      <c r="AC55" s="2220"/>
      <c r="AD55" s="2220"/>
      <c r="AE55" s="2220"/>
      <c r="AF55" s="2220"/>
      <c r="AG55" s="2220"/>
      <c r="AH55" s="2220"/>
      <c r="AI55" s="2220"/>
      <c r="AJ55" s="2220"/>
      <c r="AK55" s="2220"/>
    </row>
    <row r="56" spans="1:42" ht="14.25" hidden="1" customHeight="1">
      <c r="O56" s="464"/>
    </row>
    <row r="57" spans="1:42" ht="14.25" hidden="1" customHeight="1">
      <c r="O57" s="464"/>
      <c r="S57" s="1126" t="s">
        <v>1511</v>
      </c>
      <c r="T57" s="2220" t="s">
        <v>1694</v>
      </c>
      <c r="U57" s="2220"/>
      <c r="V57" s="2220"/>
      <c r="W57" s="2220"/>
      <c r="X57" s="2220"/>
      <c r="Y57" s="2220"/>
      <c r="Z57" s="2220"/>
      <c r="AA57" s="2220"/>
      <c r="AB57" s="2220"/>
      <c r="AC57" s="2220"/>
      <c r="AD57" s="2220"/>
      <c r="AE57" s="2220"/>
      <c r="AF57" s="2220"/>
      <c r="AG57" s="2220"/>
      <c r="AH57" s="2220"/>
      <c r="AI57" s="2220"/>
      <c r="AJ57" s="2220"/>
      <c r="AK57" s="2220"/>
    </row>
  </sheetData>
  <sheetProtection formatColumns="0" formatRows="0" insertRows="0" deleteColumns="0" deleteRows="0" sort="0" autoFilter="0"/>
  <mergeCells count="101">
    <mergeCell ref="T55:AK55"/>
    <mergeCell ref="T57:AK57"/>
    <mergeCell ref="Q45:Q48"/>
    <mergeCell ref="V45:AB45"/>
    <mergeCell ref="AC45:AJ45"/>
    <mergeCell ref="Z46:Z47"/>
    <mergeCell ref="AA46:AA47"/>
    <mergeCell ref="AB46:AB47"/>
    <mergeCell ref="AF46:AF47"/>
    <mergeCell ref="AG46:AG47"/>
    <mergeCell ref="AK46:AK47"/>
    <mergeCell ref="AH46:AH47"/>
    <mergeCell ref="AI46:AI47"/>
    <mergeCell ref="E41:E52"/>
    <mergeCell ref="V41:AB41"/>
    <mergeCell ref="AC41:AJ41"/>
    <mergeCell ref="F42:F51"/>
    <mergeCell ref="V42:AB42"/>
    <mergeCell ref="AC42:AJ42"/>
    <mergeCell ref="G43:G50"/>
    <mergeCell ref="Y38:AA38"/>
    <mergeCell ref="AD38:AE38"/>
    <mergeCell ref="AF38:AH38"/>
    <mergeCell ref="Z39:AA39"/>
    <mergeCell ref="H44:H50"/>
    <mergeCell ref="I44:I49"/>
    <mergeCell ref="P44:P49"/>
    <mergeCell ref="V44:AB44"/>
    <mergeCell ref="AC44:AJ44"/>
    <mergeCell ref="J45:J48"/>
    <mergeCell ref="AG39:AH39"/>
    <mergeCell ref="Z40:AA40"/>
    <mergeCell ref="AG40:AH40"/>
    <mergeCell ref="K46:K47"/>
    <mergeCell ref="Y46:Y47"/>
    <mergeCell ref="V43:AB43"/>
    <mergeCell ref="AC43:AJ43"/>
    <mergeCell ref="AC29:AH29"/>
    <mergeCell ref="S30:T30"/>
    <mergeCell ref="V30:AA30"/>
    <mergeCell ref="AC30:AH30"/>
    <mergeCell ref="V35:AB35"/>
    <mergeCell ref="AC35:AI35"/>
    <mergeCell ref="S36:AJ36"/>
    <mergeCell ref="AK36:AK39"/>
    <mergeCell ref="S37:S39"/>
    <mergeCell ref="T37:T39"/>
    <mergeCell ref="V37:AA37"/>
    <mergeCell ref="AB37:AB39"/>
    <mergeCell ref="AC37:AH37"/>
    <mergeCell ref="AI37:AI39"/>
    <mergeCell ref="S32:T32"/>
    <mergeCell ref="V32:AA32"/>
    <mergeCell ref="AC32:AH32"/>
    <mergeCell ref="S33:T33"/>
    <mergeCell ref="V33:AA33"/>
    <mergeCell ref="AC33:AH33"/>
    <mergeCell ref="S29:T29"/>
    <mergeCell ref="V29:AA29"/>
    <mergeCell ref="AJ37:AJ39"/>
    <mergeCell ref="W38:X38"/>
    <mergeCell ref="AK7:AK8"/>
    <mergeCell ref="S24:AH24"/>
    <mergeCell ref="S25:AH25"/>
    <mergeCell ref="S27:T27"/>
    <mergeCell ref="V27:AA27"/>
    <mergeCell ref="AC27:AH27"/>
    <mergeCell ref="S28:T28"/>
    <mergeCell ref="V28:AA28"/>
    <mergeCell ref="AC28:AH28"/>
    <mergeCell ref="AG7:AG8"/>
    <mergeCell ref="AH7:AH8"/>
    <mergeCell ref="AF15:AF16"/>
    <mergeCell ref="AG15:AG16"/>
    <mergeCell ref="AH15:AH16"/>
    <mergeCell ref="AI15:AI16"/>
    <mergeCell ref="AF7:AF8"/>
    <mergeCell ref="E2:E13"/>
    <mergeCell ref="V2:AB2"/>
    <mergeCell ref="AC2:AJ2"/>
    <mergeCell ref="F3:F12"/>
    <mergeCell ref="V3:AB3"/>
    <mergeCell ref="AC3:AJ3"/>
    <mergeCell ref="G4:G11"/>
    <mergeCell ref="V4:AB4"/>
    <mergeCell ref="AC4:AJ4"/>
    <mergeCell ref="H5:H11"/>
    <mergeCell ref="AI7:AI8"/>
    <mergeCell ref="K7:K8"/>
    <mergeCell ref="Y7:Y8"/>
    <mergeCell ref="Z7:Z8"/>
    <mergeCell ref="AA7:AA8"/>
    <mergeCell ref="AB7:AB8"/>
    <mergeCell ref="I5:I10"/>
    <mergeCell ref="P5:P10"/>
    <mergeCell ref="V5:AB5"/>
    <mergeCell ref="AC5:AJ5"/>
    <mergeCell ref="J6:J9"/>
    <mergeCell ref="Q6:Q9"/>
    <mergeCell ref="V6:AB6"/>
    <mergeCell ref="AC6:AJ6"/>
  </mergeCells>
  <dataValidations count="8">
    <dataValidation type="list" allowBlank="1" showInputMessage="1" errorTitle="Ошибка" error="Выберите значение из списка" prompt="Выберите значение из списка" sqref="V983081:AJ983081 V65577:AJ65577 V131113:AJ131113 V196649:AJ196649 V262185:AJ262185 V327721:AJ327721 V393257:AJ393257 V458793:AJ458793 V524329:AJ524329 V589865:AJ589865 V655401:AJ655401 V720937:AJ720937 V786473:AJ786473 V852009:AJ852009 V917545:AJ917545">
      <formula1>kind_of_cons</formula1>
    </dataValidation>
    <dataValidation allowBlank="1" sqref="S131116:AK131122 S196652:AK196658 S262188:AK262194 S327724:AK327730 S393260:AK393266 S458796:AK458802 S524332:AK524338 S589868:AK589874 S655404:AK655410 S720940:AK720946 S786476:AK786482 S852012:AK852018 S917548:AK917554 S983084:AK983090 S65580:AK65586"/>
    <dataValidation allowBlank="1" showInputMessage="1" showErrorMessage="1" prompt="Для выбора выполните двойной щелчок левой клавиши мыши по соответствующей ячейке." sqref="Z65578 Z131114 Z196650 Z262186 Z327722 Z393258 Z458794 Z524330 Z589866 Z655402 Z720938 Z786474 Z852010 Z917546 Z983082 AB131114 AB458794 AB196650 AB262186 AB327722 AB393258 AB524330 AB589866 AB655402 AB720938 AB786474 AB852010 AB917546 AB983082 AB65578 AG65578 AG131114 AG196650 AG262186 AG327722 AG393258 AG458794 AG524330 AG589866 AG655402 AG720938 AG786474 AG852010 AG917546 AG983082 AI524330 AI196650 AI589866 AI655402 AI15 AI720938 AI786474 AI852010 AI917546 AI983082 AI65578 AI131114 AI458794 AI262186 AI7 AG46 AI327722 AG15 AG7 Z7 AB7 AI393258 AI46 Z46 AB46"/>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Y65578 Y131114 Y196650 Y262186 Y327722 Y393258 Y458794 Y524330 Y589866 Y655402 Y720938 Y786474 Y852010 Y917546 Y983082 AA65578 AA131114 AA196650 AA262186 AA327722 AA393258 AA458794 AA524330 AA589866 AA655402 AA720938 AA786474 AA852010 AA917546 AA983082 AF15 AF65578 AF131114 AF196650 AF262186 AF327722 AF393258 AF458794 AF524330 AF589866 AF655402 AF720938 AF786474 AF852010 AF917546 AF983082 AH65578 AH131114 AH196650 AH262186 AH327722 AH393258 AH458794 AH524330 AH589866 AH655402 AH720938 AH786474 AH852010 AH917546 AH983082 AH46 AF46 AH15 AH7 AF7 Y7 AA7 Y46 AA46"/>
    <dataValidation type="list" allowBlank="1" showInputMessage="1" showErrorMessage="1" errorTitle="Ошибка" error="Выберите значение из списка" sqref="T65578 T131114 T196650 T262186 T327722 T393258 T458794 T524330 T589866 T655402 T720938 T786474 T852010 T917546 T983082">
      <formula1>kind_of_heat_transfer</formula1>
    </dataValidation>
    <dataValidation type="textLength" operator="lessThanOrEqual" allowBlank="1" showInputMessage="1" showErrorMessage="1" errorTitle="Ошибка" error="Допускается ввод не более 900 символов!" sqref="AK65572:AK65579 AK131108:AK131115 AK196644:AK196651 AK262180:AK262187 AK327716:AK327723 AK393252:AK393259 AK458788:AK458795 AK524324:AK524331 AK589860:AK589867 AK655396:AK655403 AK720932:AK720939 AK786468:AK786475 AK852004:AK852011 AK917540:AK917547 AK983076:AK983083 T46 T7 AJ5 AC5:AI5 AC44:AI44 AJ44">
      <formula1>900</formula1>
    </dataValidation>
    <dataValidation type="list" allowBlank="1" showInputMessage="1" showErrorMessage="1" errorTitle="Ошибка" error="Выберите значение из списка" sqref="V983080 V65576 V131112 V196648 V262184 V327720 V393256 V458792 V524328 V589864 V655400 V720936 V786472 V852008 V917544 AC983080 AC65576 AC131112 AC196648 AC262184 AC327720 AC393256 AC458792 AC524328 AC589864 AC655400 AC720936 AC786472 AC852008 AC917544">
      <formula1>kind_of_scheme_in</formula1>
    </dataValidation>
    <dataValidation allowBlank="1" promptTitle="checkPeriodRange" sqref="X65579 X131115 X196651 X262187 X327723 X393259 X458795 X524331 X589867 X655403 X720939 X786475 X852011 X917547 X983083 AE16 AE65579 AE131115 AE196651 AE262187 AE327723 AE393259 AE458795 AE524331 AE589867 AE655403 AE720939 AE786475 AE852011 AE917547 AE983083 AE47 AE8 X8 X47"/>
  </dataValidations>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39997558519241921"/>
  </sheetPr>
  <dimension ref="A1:AP57"/>
  <sheetViews>
    <sheetView showGridLines="0" topLeftCell="P23" zoomScale="90" workbookViewId="0"/>
  </sheetViews>
  <sheetFormatPr defaultColWidth="10.5703125" defaultRowHeight="14.25" customHeight="1"/>
  <cols>
    <col min="1" max="1" width="10.5703125" style="1742" hidden="1"/>
    <col min="2" max="2" width="11" style="1742" hidden="1" customWidth="1"/>
    <col min="3" max="3" width="10.5703125" style="1742" hidden="1"/>
    <col min="4" max="4" width="11.85546875" style="1742" hidden="1" customWidth="1"/>
    <col min="5" max="5" width="10" style="1742" hidden="1" customWidth="1"/>
    <col min="6" max="6" width="8.7109375" style="1742" hidden="1" customWidth="1"/>
    <col min="7" max="7" width="7.5703125" style="1742" hidden="1" customWidth="1"/>
    <col min="8" max="8" width="11.42578125" style="1742" hidden="1" customWidth="1"/>
    <col min="9" max="9" width="14.140625" style="1742" hidden="1" customWidth="1"/>
    <col min="10" max="10" width="9.85546875" style="1742" hidden="1" customWidth="1"/>
    <col min="11" max="11" width="14.7109375" style="1742" hidden="1" customWidth="1"/>
    <col min="12" max="12" width="19.140625" style="1741" hidden="1" customWidth="1"/>
    <col min="13" max="14" width="12.28515625" style="1683" hidden="1" customWidth="1"/>
    <col min="15" max="15" width="23.42578125" style="1683" hidden="1" customWidth="1"/>
    <col min="16" max="16" width="3.7109375" style="1720" customWidth="1"/>
    <col min="17" max="18" width="3.7109375" style="1674" customWidth="1"/>
    <col min="19" max="19" width="12.7109375" style="1713" customWidth="1"/>
    <col min="20" max="20" width="35.7109375" style="1829" customWidth="1"/>
    <col min="21" max="21" width="0.140625" style="1829" customWidth="1"/>
    <col min="22" max="24" width="24.7109375" style="1829" hidden="1" customWidth="1"/>
    <col min="25" max="25" width="11.7109375" style="1829" hidden="1" customWidth="1"/>
    <col min="26" max="26" width="3.7109375" style="1829" hidden="1" customWidth="1"/>
    <col min="27" max="27" width="11.7109375" style="1829" hidden="1" customWidth="1"/>
    <col min="28" max="28" width="8.5703125" style="1829" hidden="1" customWidth="1"/>
    <col min="29" max="31" width="24.7109375" style="1829" customWidth="1"/>
    <col min="32" max="32" width="11.7109375" style="1829" customWidth="1"/>
    <col min="33" max="33" width="3.7109375" style="1829" customWidth="1"/>
    <col min="34" max="34" width="11.7109375" style="1829" customWidth="1"/>
    <col min="35" max="35" width="8.5703125" style="1829" hidden="1" customWidth="1"/>
    <col min="36" max="36" width="4.7109375" style="1829" customWidth="1"/>
    <col min="37" max="37" width="115.7109375" style="1829" customWidth="1"/>
    <col min="38" max="39" width="10.5703125" style="1755"/>
    <col min="40" max="40" width="11.140625" style="1755" customWidth="1"/>
    <col min="41" max="42" width="10.5703125" style="1755"/>
  </cols>
  <sheetData>
    <row r="1" spans="1:42" ht="14.25" hidden="1" customHeight="1">
      <c r="X1" s="254"/>
      <c r="Y1" s="254"/>
      <c r="AE1" s="254"/>
      <c r="AF1" s="254"/>
    </row>
    <row r="2" spans="1:42" ht="23.25" hidden="1" customHeight="1">
      <c r="A2" s="1242"/>
      <c r="B2" s="1242"/>
      <c r="C2" s="1242"/>
      <c r="D2" s="1242"/>
      <c r="E2" s="2221">
        <v>1</v>
      </c>
      <c r="F2" s="1242"/>
      <c r="G2" s="1242"/>
      <c r="H2" s="1242"/>
      <c r="I2" s="1242"/>
      <c r="J2" s="1242"/>
      <c r="K2" s="1242"/>
      <c r="L2" s="1243"/>
      <c r="M2" s="1244"/>
      <c r="N2" s="1244"/>
      <c r="O2" s="1244"/>
      <c r="P2" s="285"/>
      <c r="Q2" s="284"/>
      <c r="R2" s="279"/>
      <c r="S2" s="1320" t="e">
        <f>INDEX(PT_DIFFERENTIATION_NUM_NTAR,MATCH(A2,PT_DIFFERENTIATION_NTAR_ID,0))</f>
        <v>#N/A</v>
      </c>
      <c r="T2" s="216" t="s">
        <v>124</v>
      </c>
      <c r="U2" s="218"/>
      <c r="V2" s="2215"/>
      <c r="W2" s="2216"/>
      <c r="X2" s="2216"/>
      <c r="Y2" s="2216"/>
      <c r="Z2" s="2216"/>
      <c r="AA2" s="2216"/>
      <c r="AB2" s="2217"/>
      <c r="AC2" s="2215" t="e">
        <f>INDEX(PT_DIFFERENTIATION_NTAR,MATCH(A2,PT_DIFFERENTIATION_NTAR_ID,0))</f>
        <v>#N/A</v>
      </c>
      <c r="AD2" s="2216"/>
      <c r="AE2" s="2216"/>
      <c r="AF2" s="2216"/>
      <c r="AG2" s="2216"/>
      <c r="AH2" s="2216"/>
      <c r="AI2" s="2216"/>
      <c r="AJ2" s="2217"/>
      <c r="AK2" s="1138"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2" s="428"/>
      <c r="AN2" s="428" t="str">
        <f t="shared" ref="AN2:AN13" si="0">IF(T2="","",T2)</f>
        <v>Наименование тарифа</v>
      </c>
      <c r="AO2" s="428"/>
      <c r="AP2" s="428"/>
    </row>
    <row r="3" spans="1:42" ht="23.25" hidden="1" customHeight="1">
      <c r="A3" s="1242"/>
      <c r="B3" s="1242"/>
      <c r="C3" s="1242"/>
      <c r="D3" s="1242"/>
      <c r="E3" s="2222"/>
      <c r="F3" s="2221">
        <v>1</v>
      </c>
      <c r="G3" s="1242"/>
      <c r="H3" s="1242"/>
      <c r="I3" s="1242"/>
      <c r="J3" s="1242"/>
      <c r="K3" s="1242"/>
      <c r="L3" s="1243"/>
      <c r="M3" s="1244"/>
      <c r="N3" s="1244"/>
      <c r="O3" s="1244"/>
      <c r="P3" s="1316"/>
      <c r="Q3" s="276"/>
      <c r="R3" s="277"/>
      <c r="S3" s="1320" t="e">
        <f>INDEX(PT_DIFFERENTIATION_NUM_TER,MATCH(B3,PT_DIFFERENTIATION_TER_ID,0))</f>
        <v>#N/A</v>
      </c>
      <c r="T3" s="228" t="s">
        <v>1463</v>
      </c>
      <c r="U3" s="218"/>
      <c r="V3" s="2215"/>
      <c r="W3" s="2216"/>
      <c r="X3" s="2216"/>
      <c r="Y3" s="2216"/>
      <c r="Z3" s="2216"/>
      <c r="AA3" s="2216"/>
      <c r="AB3" s="2217"/>
      <c r="AC3" s="2215" t="e">
        <f>INDEX(PT_DIFFERENTIATION_TER,MATCH(B3,PT_DIFFERENTIATION_TER_ID,0))</f>
        <v>#N/A</v>
      </c>
      <c r="AD3" s="2216"/>
      <c r="AE3" s="2216"/>
      <c r="AF3" s="2216"/>
      <c r="AG3" s="2216"/>
      <c r="AH3" s="2216"/>
      <c r="AI3" s="2216"/>
      <c r="AJ3" s="2217"/>
      <c r="AK3" s="1138" t="s">
        <v>1464</v>
      </c>
      <c r="AM3" s="428"/>
      <c r="AN3" s="428" t="str">
        <f t="shared" si="0"/>
        <v>Территория действия тарифа</v>
      </c>
      <c r="AO3" s="428"/>
      <c r="AP3" s="428"/>
    </row>
    <row r="4" spans="1:42" ht="23.25" hidden="1" customHeight="1">
      <c r="A4" s="1242"/>
      <c r="B4" s="1242"/>
      <c r="C4" s="1242"/>
      <c r="D4" s="1242"/>
      <c r="E4" s="2222"/>
      <c r="F4" s="2222"/>
      <c r="G4" s="2221">
        <v>1</v>
      </c>
      <c r="H4" s="1242"/>
      <c r="I4" s="1242"/>
      <c r="J4" s="1242"/>
      <c r="K4" s="1242"/>
      <c r="L4" s="1243"/>
      <c r="M4" s="1244"/>
      <c r="N4" s="1244"/>
      <c r="O4" s="1244"/>
      <c r="P4" s="278"/>
      <c r="Q4" s="276"/>
      <c r="R4" s="277"/>
      <c r="S4" s="1320" t="e">
        <f>INDEX(PT_DIFFERENTIATION_NUM_CS,MATCH(C4,PT_DIFFERENTIATION_CS_ID,0))</f>
        <v>#N/A</v>
      </c>
      <c r="T4" s="229" t="s">
        <v>1678</v>
      </c>
      <c r="U4" s="218"/>
      <c r="V4" s="2215"/>
      <c r="W4" s="2216"/>
      <c r="X4" s="2216"/>
      <c r="Y4" s="2216"/>
      <c r="Z4" s="2216"/>
      <c r="AA4" s="2216"/>
      <c r="AB4" s="2217"/>
      <c r="AC4" s="2215" t="e">
        <f>INDEX(PT_DIFFERENTIATION_CS,MATCH(C4,PT_DIFFERENTIATION_CS_ID,0))</f>
        <v>#N/A</v>
      </c>
      <c r="AD4" s="2216"/>
      <c r="AE4" s="2216"/>
      <c r="AF4" s="2216"/>
      <c r="AG4" s="2216"/>
      <c r="AH4" s="2216"/>
      <c r="AI4" s="2216"/>
      <c r="AJ4" s="2217"/>
      <c r="AK4" s="1138" t="s">
        <v>1679</v>
      </c>
      <c r="AM4" s="428"/>
      <c r="AN4" s="428" t="str">
        <f t="shared" si="0"/>
        <v>Наименование централизованной системы холодного водоснабжения</v>
      </c>
      <c r="AO4" s="428"/>
      <c r="AP4" s="428"/>
    </row>
    <row r="5" spans="1:42" ht="23.25" hidden="1" customHeight="1">
      <c r="A5" s="1242"/>
      <c r="B5" s="1242"/>
      <c r="C5" s="1242"/>
      <c r="D5" s="1242"/>
      <c r="E5" s="2222"/>
      <c r="F5" s="2222"/>
      <c r="G5" s="2222"/>
      <c r="H5" s="2222"/>
      <c r="I5" s="2223" t="e">
        <f>S4&amp;".1"</f>
        <v>#N/A</v>
      </c>
      <c r="J5" s="1242"/>
      <c r="K5" s="1242"/>
      <c r="L5" s="1243"/>
      <c r="P5" s="2143">
        <v>1</v>
      </c>
      <c r="Q5" s="1313"/>
      <c r="R5" s="280"/>
      <c r="S5" s="1320" t="e">
        <f>$I5</f>
        <v>#N/A</v>
      </c>
      <c r="T5" s="203" t="s">
        <v>1680</v>
      </c>
      <c r="U5" s="218"/>
      <c r="V5" s="2313"/>
      <c r="W5" s="2314"/>
      <c r="X5" s="2314"/>
      <c r="Y5" s="2314"/>
      <c r="Z5" s="2314"/>
      <c r="AA5" s="2314"/>
      <c r="AB5" s="2315"/>
      <c r="AC5" s="2316"/>
      <c r="AD5" s="2317"/>
      <c r="AE5" s="2317"/>
      <c r="AF5" s="2317"/>
      <c r="AG5" s="2317"/>
      <c r="AH5" s="2317"/>
      <c r="AI5" s="2317"/>
      <c r="AJ5" s="2318"/>
      <c r="AK5" s="1138" t="s">
        <v>1681</v>
      </c>
      <c r="AM5" s="428"/>
      <c r="AN5" s="428" t="str">
        <f t="shared" si="0"/>
        <v>Наименование признака дифференциации</v>
      </c>
      <c r="AO5" s="428"/>
      <c r="AP5" s="428"/>
    </row>
    <row r="6" spans="1:42" ht="23.25" hidden="1" customHeight="1">
      <c r="A6" s="1242"/>
      <c r="B6" s="1242"/>
      <c r="C6" s="1242"/>
      <c r="D6" s="1242"/>
      <c r="E6" s="2222"/>
      <c r="F6" s="2222"/>
      <c r="G6" s="2222"/>
      <c r="H6" s="2222"/>
      <c r="I6" s="2224"/>
      <c r="J6" s="2223" t="e">
        <f>I5&amp;".1"</f>
        <v>#N/A</v>
      </c>
      <c r="K6" s="1242"/>
      <c r="L6" s="1243" t="s">
        <v>1472</v>
      </c>
      <c r="P6" s="2143"/>
      <c r="Q6" s="2143">
        <v>1</v>
      </c>
      <c r="R6" s="281"/>
      <c r="S6" s="1320" t="e">
        <f>$J6</f>
        <v>#N/A</v>
      </c>
      <c r="T6" s="204" t="s">
        <v>1473</v>
      </c>
      <c r="U6" s="218"/>
      <c r="V6" s="2210"/>
      <c r="W6" s="2211"/>
      <c r="X6" s="2211"/>
      <c r="Y6" s="2211"/>
      <c r="Z6" s="2211"/>
      <c r="AA6" s="2211"/>
      <c r="AB6" s="2212"/>
      <c r="AC6" s="2210"/>
      <c r="AD6" s="2211"/>
      <c r="AE6" s="2211"/>
      <c r="AF6" s="2211"/>
      <c r="AG6" s="2211"/>
      <c r="AH6" s="2211"/>
      <c r="AI6" s="2211"/>
      <c r="AJ6" s="2212"/>
      <c r="AK6" s="1192" t="s">
        <v>1682</v>
      </c>
      <c r="AM6" s="428"/>
      <c r="AN6" s="428" t="str">
        <f t="shared" si="0"/>
        <v>Группа потребителей</v>
      </c>
      <c r="AO6" s="428"/>
      <c r="AP6" s="428"/>
    </row>
    <row r="7" spans="1:42" ht="23.25" hidden="1" customHeight="1">
      <c r="A7" s="1242"/>
      <c r="B7" s="1242"/>
      <c r="C7" s="1242"/>
      <c r="D7" s="1242"/>
      <c r="E7" s="2222"/>
      <c r="F7" s="2222"/>
      <c r="G7" s="2222"/>
      <c r="H7" s="2222"/>
      <c r="I7" s="2224"/>
      <c r="J7" s="2224"/>
      <c r="K7" s="2223" t="e">
        <f>J6&amp;".1"</f>
        <v>#N/A</v>
      </c>
      <c r="L7" s="1243"/>
      <c r="P7" s="2143"/>
      <c r="Q7" s="2143"/>
      <c r="R7" s="281">
        <v>1</v>
      </c>
      <c r="S7" s="1320" t="e">
        <f>$K7</f>
        <v>#N/A</v>
      </c>
      <c r="T7" s="1304"/>
      <c r="U7" s="218"/>
      <c r="V7" s="1664"/>
      <c r="W7" s="1664"/>
      <c r="X7" s="1666"/>
      <c r="Y7" s="2225"/>
      <c r="Z7" s="2017" t="s">
        <v>62</v>
      </c>
      <c r="AA7" s="2225"/>
      <c r="AB7" s="2017" t="s">
        <v>62</v>
      </c>
      <c r="AC7" s="1664"/>
      <c r="AD7" s="1664"/>
      <c r="AE7" s="1666"/>
      <c r="AF7" s="2225"/>
      <c r="AG7" s="2017" t="s">
        <v>62</v>
      </c>
      <c r="AH7" s="2227"/>
      <c r="AI7" s="2017" t="s">
        <v>62</v>
      </c>
      <c r="AJ7" s="1703"/>
      <c r="AK7" s="2319"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7" s="439" t="e">
        <f ca="1">STRCHECKDATE(V8:AJ8)</f>
        <v>#NAME?</v>
      </c>
      <c r="AM7" s="428"/>
      <c r="AN7" s="428" t="str">
        <f t="shared" si="0"/>
        <v/>
      </c>
      <c r="AO7" s="428"/>
      <c r="AP7" s="428"/>
    </row>
    <row r="8" spans="1:42" ht="0.75" hidden="1" customHeight="1">
      <c r="A8" s="1242"/>
      <c r="B8" s="1242"/>
      <c r="C8" s="1242"/>
      <c r="D8" s="1242"/>
      <c r="E8" s="2222"/>
      <c r="F8" s="2222"/>
      <c r="G8" s="2222"/>
      <c r="H8" s="2222"/>
      <c r="I8" s="2224"/>
      <c r="J8" s="2224"/>
      <c r="K8" s="2223"/>
      <c r="L8" s="1243"/>
      <c r="P8" s="2143"/>
      <c r="Q8" s="2143"/>
      <c r="R8" s="281"/>
      <c r="S8" s="1319"/>
      <c r="T8" s="218"/>
      <c r="U8" s="218"/>
      <c r="V8" s="1665"/>
      <c r="W8" s="1665"/>
      <c r="X8" s="1667" t="str">
        <f>Y7&amp;"-"&amp;AA7</f>
        <v>-</v>
      </c>
      <c r="Y8" s="2226"/>
      <c r="Z8" s="2017"/>
      <c r="AA8" s="2226"/>
      <c r="AB8" s="2017"/>
      <c r="AC8" s="1665"/>
      <c r="AD8" s="1665"/>
      <c r="AE8" s="1667" t="str">
        <f>AF7&amp;"-"&amp;AH7</f>
        <v>-</v>
      </c>
      <c r="AF8" s="2226"/>
      <c r="AG8" s="2017"/>
      <c r="AH8" s="2228"/>
      <c r="AI8" s="2017"/>
      <c r="AJ8" s="1704"/>
      <c r="AK8" s="2319"/>
      <c r="AM8" s="428"/>
      <c r="AN8" s="428" t="str">
        <f t="shared" si="0"/>
        <v/>
      </c>
      <c r="AO8" s="428"/>
      <c r="AP8" s="428"/>
    </row>
    <row r="9" spans="1:42" ht="21" hidden="1" customHeight="1">
      <c r="A9" s="1242"/>
      <c r="B9" s="1242"/>
      <c r="C9" s="1242"/>
      <c r="D9" s="1242"/>
      <c r="E9" s="2222"/>
      <c r="F9" s="2222"/>
      <c r="G9" s="2222"/>
      <c r="H9" s="2222"/>
      <c r="I9" s="2224"/>
      <c r="J9" s="2223"/>
      <c r="K9" s="1242"/>
      <c r="L9" s="1243"/>
      <c r="P9" s="2143"/>
      <c r="Q9" s="2143"/>
      <c r="R9" s="280"/>
      <c r="S9" s="1159"/>
      <c r="T9" s="205" t="s">
        <v>1683</v>
      </c>
      <c r="U9" s="294"/>
      <c r="V9" s="294"/>
      <c r="W9" s="294"/>
      <c r="X9" s="294"/>
      <c r="Y9" s="294"/>
      <c r="Z9" s="294"/>
      <c r="AA9" s="294"/>
      <c r="AB9" s="294"/>
      <c r="AC9" s="294"/>
      <c r="AD9" s="294"/>
      <c r="AE9" s="294"/>
      <c r="AF9" s="294"/>
      <c r="AG9" s="294"/>
      <c r="AH9" s="294"/>
      <c r="AI9" s="294"/>
      <c r="AJ9" s="294"/>
      <c r="AK9" s="1138" t="s">
        <v>1684</v>
      </c>
      <c r="AM9" s="428"/>
      <c r="AN9" s="428" t="str">
        <f t="shared" si="0"/>
        <v>Добавить значение признака дифференциации</v>
      </c>
      <c r="AO9" s="428"/>
      <c r="AP9" s="428"/>
    </row>
    <row r="10" spans="1:42" ht="21" hidden="1" customHeight="1">
      <c r="A10" s="1242"/>
      <c r="B10" s="1242"/>
      <c r="C10" s="1242"/>
      <c r="D10" s="1242"/>
      <c r="E10" s="2222"/>
      <c r="F10" s="2222"/>
      <c r="G10" s="2222"/>
      <c r="H10" s="2222"/>
      <c r="I10" s="2223"/>
      <c r="J10" s="1242"/>
      <c r="K10" s="1242"/>
      <c r="L10" s="1243"/>
      <c r="P10" s="2143"/>
      <c r="Q10" s="1313"/>
      <c r="R10" s="280"/>
      <c r="S10" s="1159"/>
      <c r="T10" s="291" t="s">
        <v>1478</v>
      </c>
      <c r="U10" s="294"/>
      <c r="V10" s="294"/>
      <c r="W10" s="294"/>
      <c r="X10" s="294"/>
      <c r="Y10" s="294"/>
      <c r="Z10" s="294"/>
      <c r="AA10" s="294"/>
      <c r="AB10" s="293"/>
      <c r="AC10" s="294"/>
      <c r="AD10" s="294"/>
      <c r="AE10" s="294"/>
      <c r="AF10" s="294"/>
      <c r="AG10" s="294"/>
      <c r="AH10" s="294"/>
      <c r="AI10" s="293"/>
      <c r="AJ10" s="294"/>
      <c r="AK10" s="1305"/>
      <c r="AM10" s="428"/>
      <c r="AN10" s="428" t="str">
        <f t="shared" si="0"/>
        <v>Добавить группу потребителей</v>
      </c>
      <c r="AO10" s="428"/>
      <c r="AP10" s="428"/>
    </row>
    <row r="11" spans="1:42" ht="21" hidden="1" customHeight="1">
      <c r="A11" s="1242"/>
      <c r="B11" s="1242"/>
      <c r="C11" s="1242"/>
      <c r="D11" s="1242"/>
      <c r="E11" s="2222"/>
      <c r="F11" s="2222"/>
      <c r="G11" s="2222"/>
      <c r="H11" s="2221"/>
      <c r="I11" s="1242"/>
      <c r="J11" s="1242"/>
      <c r="K11" s="1242"/>
      <c r="L11" s="1243"/>
      <c r="M11" s="1244"/>
      <c r="N11" s="1244"/>
      <c r="O11" s="464"/>
      <c r="P11" s="284"/>
      <c r="Q11" s="303"/>
      <c r="R11" s="279"/>
      <c r="S11" s="1159"/>
      <c r="T11" s="299" t="s">
        <v>1685</v>
      </c>
      <c r="U11" s="294"/>
      <c r="V11" s="294"/>
      <c r="W11" s="294"/>
      <c r="X11" s="294"/>
      <c r="Y11" s="294"/>
      <c r="Z11" s="294"/>
      <c r="AA11" s="294"/>
      <c r="AB11" s="293"/>
      <c r="AC11" s="294"/>
      <c r="AD11" s="294"/>
      <c r="AE11" s="294"/>
      <c r="AF11" s="294"/>
      <c r="AG11" s="294"/>
      <c r="AH11" s="294"/>
      <c r="AI11" s="293"/>
      <c r="AJ11" s="294"/>
      <c r="AK11" s="221"/>
      <c r="AM11" s="428"/>
      <c r="AN11" s="428" t="str">
        <f t="shared" si="0"/>
        <v>Добавить наименование признака дифференциации</v>
      </c>
      <c r="AO11" s="428"/>
      <c r="AP11" s="428"/>
    </row>
    <row r="12" spans="1:42" s="1755" customFormat="1" ht="0.75" hidden="1" customHeight="1">
      <c r="A12" s="1226"/>
      <c r="B12" s="1226"/>
      <c r="C12" s="1198"/>
      <c r="D12" s="1198"/>
      <c r="E12" s="2222"/>
      <c r="F12" s="2221"/>
      <c r="G12" s="1198"/>
      <c r="H12" s="1198"/>
      <c r="I12" s="1198"/>
      <c r="J12" s="1198"/>
      <c r="K12" s="1198"/>
      <c r="L12" s="1321"/>
      <c r="M12" s="1205"/>
      <c r="N12" s="1205"/>
      <c r="P12" s="1200"/>
      <c r="Q12" s="1201"/>
      <c r="R12" s="1200"/>
      <c r="S12" s="1206"/>
      <c r="T12" s="1209" t="s">
        <v>1439</v>
      </c>
      <c r="U12" s="1208"/>
      <c r="V12" s="1208"/>
      <c r="W12" s="1208"/>
      <c r="X12" s="1208"/>
      <c r="Y12" s="1208"/>
      <c r="Z12" s="1208"/>
      <c r="AA12" s="1208"/>
      <c r="AB12" s="1208"/>
      <c r="AC12" s="1208"/>
      <c r="AD12" s="1208"/>
      <c r="AE12" s="1208"/>
      <c r="AF12" s="1208"/>
      <c r="AG12" s="1208"/>
      <c r="AH12" s="1208"/>
      <c r="AI12" s="1208"/>
      <c r="AJ12" s="1208"/>
      <c r="AK12" s="1208"/>
      <c r="AM12" s="695"/>
      <c r="AN12" s="695" t="str">
        <f t="shared" si="0"/>
        <v>Добавить централизованную систему для дифференциации</v>
      </c>
      <c r="AO12" s="695"/>
      <c r="AP12" s="695"/>
    </row>
    <row r="13" spans="1:42" s="1755" customFormat="1" ht="0.75" hidden="1" customHeight="1">
      <c r="A13" s="1226"/>
      <c r="B13" s="1226"/>
      <c r="C13" s="1226"/>
      <c r="D13" s="1226"/>
      <c r="E13" s="2221"/>
      <c r="F13" s="1226"/>
      <c r="G13" s="1226"/>
      <c r="H13" s="1226"/>
      <c r="I13" s="1226"/>
      <c r="J13" s="1226"/>
      <c r="K13" s="1226"/>
      <c r="L13" s="1229"/>
      <c r="M13" s="1205"/>
      <c r="N13" s="1205"/>
      <c r="O13" s="446"/>
      <c r="P13" s="311"/>
      <c r="Q13" s="1227"/>
      <c r="R13" s="311"/>
      <c r="S13" s="1206"/>
      <c r="T13" s="1209" t="s">
        <v>1440</v>
      </c>
      <c r="U13" s="1208"/>
      <c r="V13" s="1208"/>
      <c r="W13" s="1208"/>
      <c r="X13" s="1208"/>
      <c r="Y13" s="1208"/>
      <c r="Z13" s="1208"/>
      <c r="AA13" s="1208"/>
      <c r="AB13" s="1208"/>
      <c r="AC13" s="1208"/>
      <c r="AD13" s="1208"/>
      <c r="AE13" s="1208"/>
      <c r="AF13" s="1208"/>
      <c r="AG13" s="1208"/>
      <c r="AH13" s="1208"/>
      <c r="AI13" s="1208"/>
      <c r="AJ13" s="1208"/>
      <c r="AK13" s="1208"/>
      <c r="AM13" s="428"/>
      <c r="AN13" s="428" t="str">
        <f t="shared" si="0"/>
        <v>Добавить территорию для дифференциации</v>
      </c>
      <c r="AO13" s="428"/>
      <c r="AP13" s="428"/>
    </row>
    <row r="14" spans="1:42" ht="14.25" hidden="1" customHeight="1">
      <c r="AB14" s="254"/>
      <c r="AI14" s="254"/>
    </row>
    <row r="15" spans="1:42" ht="14.25" hidden="1" customHeight="1">
      <c r="AC15" s="1668"/>
      <c r="AD15" s="1668"/>
      <c r="AE15" s="1669"/>
      <c r="AF15" s="2219"/>
      <c r="AG15" s="2218" t="s">
        <v>62</v>
      </c>
      <c r="AH15" s="2219"/>
      <c r="AI15" s="2218" t="s">
        <v>62</v>
      </c>
    </row>
    <row r="16" spans="1:42" ht="14.25" hidden="1" customHeight="1">
      <c r="AC16" s="1668"/>
      <c r="AD16" s="1668"/>
      <c r="AE16" s="1667" t="str">
        <f>AF15&amp;"-"&amp;AH15</f>
        <v>-</v>
      </c>
      <c r="AF16" s="2218"/>
      <c r="AG16" s="2218"/>
      <c r="AH16" s="2218"/>
      <c r="AI16" s="2218"/>
    </row>
    <row r="17" spans="1:42" ht="14.25" hidden="1" customHeight="1">
      <c r="AI17" s="254"/>
    </row>
    <row r="18" spans="1:42" s="1742" customFormat="1" ht="22.5" hidden="1" customHeight="1">
      <c r="L18" s="1310"/>
      <c r="M18" s="1241"/>
      <c r="N18" s="1241"/>
      <c r="O18" s="1246" t="s">
        <v>1480</v>
      </c>
      <c r="P18" s="1241"/>
      <c r="Q18" s="1250"/>
      <c r="R18" s="1250"/>
      <c r="S18" s="643"/>
      <c r="Y18" s="1246"/>
      <c r="AA18" s="1246"/>
      <c r="AB18" s="1245"/>
      <c r="AF18" s="1246"/>
      <c r="AH18" s="1246"/>
      <c r="AI18" s="1245"/>
      <c r="AL18" s="439"/>
      <c r="AM18" s="439"/>
      <c r="AN18" s="439"/>
      <c r="AO18" s="439"/>
      <c r="AP18" s="439"/>
    </row>
    <row r="19" spans="1:42" s="1742" customFormat="1" ht="14.25" hidden="1" customHeight="1">
      <c r="L19" s="1310"/>
      <c r="M19" s="1241"/>
      <c r="N19" s="1241"/>
      <c r="O19" s="1241"/>
      <c r="P19" s="1241"/>
      <c r="Q19" s="1250"/>
      <c r="R19" s="1250"/>
      <c r="S19" s="643"/>
      <c r="AB19" s="1245"/>
      <c r="AI19" s="1245"/>
      <c r="AL19" s="439"/>
      <c r="AM19" s="439"/>
      <c r="AN19" s="439"/>
      <c r="AO19" s="439"/>
      <c r="AP19" s="439"/>
    </row>
    <row r="20" spans="1:42" s="1742" customFormat="1" ht="12" hidden="1" customHeight="1">
      <c r="L20" s="1310"/>
      <c r="M20" s="1241"/>
      <c r="N20" s="1241"/>
      <c r="O20" s="1243" t="s">
        <v>1481</v>
      </c>
      <c r="P20" s="1241"/>
      <c r="Q20" s="1306"/>
      <c r="R20" s="1306"/>
      <c r="S20" s="643"/>
      <c r="T20" s="1034" t="s">
        <v>1482</v>
      </c>
      <c r="Z20" s="111" t="s">
        <v>1483</v>
      </c>
      <c r="AB20" s="111" t="s">
        <v>1484</v>
      </c>
      <c r="AC20" s="1034" t="s">
        <v>1482</v>
      </c>
      <c r="AG20" s="111" t="s">
        <v>1485</v>
      </c>
      <c r="AI20" s="111" t="s">
        <v>1484</v>
      </c>
    </row>
    <row r="21" spans="1:42" ht="14.25" hidden="1" customHeight="1">
      <c r="O21" s="1243"/>
    </row>
    <row r="22" spans="1:42" ht="14.25" hidden="1" customHeight="1">
      <c r="O22" s="1243"/>
    </row>
    <row r="23" spans="1:42" ht="14.25" customHeight="1">
      <c r="Q23" s="304"/>
      <c r="R23" s="304"/>
      <c r="S23" s="1156"/>
      <c r="T23" s="289"/>
      <c r="U23" s="289"/>
      <c r="V23" s="437"/>
      <c r="W23" s="437"/>
      <c r="X23" s="437"/>
      <c r="Y23" s="437"/>
      <c r="Z23" s="437"/>
      <c r="AA23" s="437"/>
      <c r="AB23" s="437"/>
      <c r="AC23" s="437"/>
      <c r="AD23" s="437"/>
      <c r="AE23" s="437"/>
      <c r="AF23" s="437"/>
      <c r="AG23" s="437"/>
      <c r="AH23" s="437"/>
      <c r="AI23" s="437"/>
    </row>
    <row r="24" spans="1:42" ht="32.25" customHeight="1">
      <c r="Q24" s="304"/>
      <c r="R24" s="304"/>
      <c r="S24" s="2065" t="str">
        <f>IF(TEMPLATE_GROUP="P",PT_P_FORM_COLDVSNA_4_NAME_FORM,PT_R_FORM_COLDVSNA_16_NAME_FORM)</f>
        <v>Форма 15. Информация о предложении расчетной величины тарифов организации холодного водоснабжения об установлении тарифов в сфере холодного водоснабжения на очередной период регулирования &lt;1&gt;</v>
      </c>
      <c r="T24" s="2065"/>
      <c r="U24" s="2065"/>
      <c r="V24" s="2065"/>
      <c r="W24" s="2065"/>
      <c r="X24" s="2065"/>
      <c r="Y24" s="2065"/>
      <c r="Z24" s="2065"/>
      <c r="AA24" s="2065"/>
      <c r="AB24" s="2065"/>
      <c r="AC24" s="2065"/>
      <c r="AD24" s="2065"/>
      <c r="AE24" s="2065"/>
      <c r="AF24" s="2065"/>
      <c r="AG24" s="2065"/>
      <c r="AH24" s="2065"/>
      <c r="AI24" s="1114"/>
    </row>
    <row r="25" spans="1:42" ht="14.25" customHeight="1">
      <c r="Q25" s="304"/>
      <c r="R25" s="304"/>
      <c r="S25" s="2088" t="str">
        <f>IF(org=0,"Не определено",org)</f>
        <v>МУП г. Астрахани "Коммунэнерго"</v>
      </c>
      <c r="T25" s="2088"/>
      <c r="U25" s="2088"/>
      <c r="V25" s="2088"/>
      <c r="W25" s="2088"/>
      <c r="X25" s="2088"/>
      <c r="Y25" s="2088"/>
      <c r="Z25" s="2088"/>
      <c r="AA25" s="2088"/>
      <c r="AB25" s="2088"/>
      <c r="AC25" s="2088"/>
      <c r="AD25" s="2088"/>
      <c r="AE25" s="2088"/>
      <c r="AF25" s="2088"/>
      <c r="AG25" s="2088"/>
      <c r="AH25" s="2088"/>
      <c r="AI25" s="1114"/>
    </row>
    <row r="26" spans="1:42" ht="14.25" hidden="1" customHeight="1">
      <c r="Q26" s="304"/>
      <c r="R26" s="304"/>
      <c r="S26" s="1156"/>
      <c r="T26" s="289"/>
      <c r="U26" s="289"/>
      <c r="V26" s="248"/>
      <c r="W26" s="248"/>
      <c r="X26" s="248"/>
      <c r="Y26" s="248"/>
      <c r="Z26" s="248"/>
      <c r="AA26" s="248"/>
      <c r="AB26" s="248"/>
      <c r="AC26" s="248"/>
      <c r="AD26" s="248"/>
      <c r="AE26" s="248"/>
      <c r="AF26" s="248"/>
      <c r="AG26" s="248"/>
      <c r="AH26" s="248"/>
      <c r="AI26" s="248"/>
      <c r="AJ26" s="437"/>
    </row>
    <row r="27" spans="1:42" s="1933" customFormat="1" ht="25.5" hidden="1" customHeight="1">
      <c r="A27" s="1247"/>
      <c r="B27" s="1247"/>
      <c r="C27" s="1247"/>
      <c r="D27" s="1247"/>
      <c r="E27" s="1247"/>
      <c r="F27" s="1247"/>
      <c r="G27" s="1247"/>
      <c r="H27" s="1247"/>
      <c r="I27" s="1247"/>
      <c r="J27" s="1247"/>
      <c r="K27" s="1247"/>
      <c r="L27" s="1248"/>
      <c r="M27" s="1247"/>
      <c r="N27" s="1247"/>
      <c r="O27" s="1247"/>
      <c r="S27" s="2213" t="s">
        <v>38</v>
      </c>
      <c r="T27" s="2213"/>
      <c r="U27" s="1251"/>
      <c r="V27" s="2214" t="str">
        <f>IF(TITLE_NAME_OR_PR_CHANGE="",IF(TITLE_NAME_OR_PR="","",TITLE_NAME_OR_PR),TITLE_NAME_OR_PR_CHANGE)</f>
        <v/>
      </c>
      <c r="W27" s="2214"/>
      <c r="X27" s="2214"/>
      <c r="Y27" s="2214"/>
      <c r="Z27" s="2214"/>
      <c r="AA27" s="2214"/>
      <c r="AB27" s="253"/>
      <c r="AC27" s="2214" t="str">
        <f>IF(TITLE_NAME_OR_PR_CHANGE="",IF(TITLE_NAME_OR_PR="","",TITLE_NAME_OR_PR),TITLE_NAME_OR_PR_CHANGE)</f>
        <v/>
      </c>
      <c r="AD27" s="2214"/>
      <c r="AE27" s="2214"/>
      <c r="AF27" s="2214"/>
      <c r="AG27" s="2214"/>
      <c r="AH27" s="2214"/>
      <c r="AI27" s="253"/>
      <c r="AJ27" s="253"/>
      <c r="AK27" s="199"/>
      <c r="AL27" s="295"/>
      <c r="AM27" s="295"/>
      <c r="AN27" s="295"/>
      <c r="AO27" s="295"/>
      <c r="AP27" s="295"/>
    </row>
    <row r="28" spans="1:42" s="1933" customFormat="1" ht="18.75" hidden="1" customHeight="1">
      <c r="A28" s="1247"/>
      <c r="B28" s="1247"/>
      <c r="C28" s="1247"/>
      <c r="D28" s="1247"/>
      <c r="E28" s="1247"/>
      <c r="F28" s="1247"/>
      <c r="G28" s="1247"/>
      <c r="H28" s="1247"/>
      <c r="I28" s="1247"/>
      <c r="J28" s="1247"/>
      <c r="K28" s="1247"/>
      <c r="L28" s="1248"/>
      <c r="M28" s="1247"/>
      <c r="N28" s="1247"/>
      <c r="O28" s="1247"/>
      <c r="S28" s="2213" t="s">
        <v>1486</v>
      </c>
      <c r="T28" s="2213"/>
      <c r="U28" s="1251"/>
      <c r="V28" s="2214" t="str">
        <f>IF(TITLE_DATE_CHANGE_PERIOD="",IF(TITLE_DATE_PR="","",TITLE_DATE_PR),TITLE_DATE_CHANGE_PERIOD)</f>
        <v/>
      </c>
      <c r="W28" s="2214"/>
      <c r="X28" s="2214"/>
      <c r="Y28" s="2214"/>
      <c r="Z28" s="2214"/>
      <c r="AA28" s="2214"/>
      <c r="AB28" s="253"/>
      <c r="AC28" s="2214" t="str">
        <f>IF(TITLE_DATE_CHANGE_PERIOD="",IF(TITLE_DATE_PR="","",TITLE_DATE_PR),TITLE_DATE_CHANGE_PERIOD)</f>
        <v/>
      </c>
      <c r="AD28" s="2214"/>
      <c r="AE28" s="2214"/>
      <c r="AF28" s="2214"/>
      <c r="AG28" s="2214"/>
      <c r="AH28" s="2214"/>
      <c r="AI28" s="253"/>
      <c r="AJ28" s="253"/>
      <c r="AK28" s="199"/>
      <c r="AL28" s="295"/>
      <c r="AM28" s="295"/>
      <c r="AN28" s="295"/>
      <c r="AO28" s="295"/>
      <c r="AP28" s="295"/>
    </row>
    <row r="29" spans="1:42" s="1933" customFormat="1" ht="18.75" hidden="1" customHeight="1">
      <c r="A29" s="1247"/>
      <c r="B29" s="1247"/>
      <c r="C29" s="1247"/>
      <c r="D29" s="1247"/>
      <c r="E29" s="1247"/>
      <c r="F29" s="1247"/>
      <c r="G29" s="1247"/>
      <c r="H29" s="1247"/>
      <c r="I29" s="1247"/>
      <c r="J29" s="1247"/>
      <c r="K29" s="1247"/>
      <c r="L29" s="1248"/>
      <c r="M29" s="1247"/>
      <c r="N29" s="1247"/>
      <c r="O29" s="1247"/>
      <c r="S29" s="2213" t="s">
        <v>1487</v>
      </c>
      <c r="T29" s="2213"/>
      <c r="U29" s="1251"/>
      <c r="V29" s="2214" t="str">
        <f>IF(TITLE_NUMBER_PR_CHANGE="",IF(TITLE_NUMBER_PR="","",TITLE_NUMBER_PR),TITLE_NUMBER_PR_CHANGE)</f>
        <v/>
      </c>
      <c r="W29" s="2214"/>
      <c r="X29" s="2214"/>
      <c r="Y29" s="2214"/>
      <c r="Z29" s="2214"/>
      <c r="AA29" s="2214"/>
      <c r="AB29" s="253"/>
      <c r="AC29" s="2214" t="str">
        <f>IF(TITLE_NUMBER_PR_CHANGE="",IF(TITLE_NUMBER_PR="","",TITLE_NUMBER_PR),TITLE_NUMBER_PR_CHANGE)</f>
        <v/>
      </c>
      <c r="AD29" s="2214"/>
      <c r="AE29" s="2214"/>
      <c r="AF29" s="2214"/>
      <c r="AG29" s="2214"/>
      <c r="AH29" s="2214"/>
      <c r="AI29" s="253"/>
      <c r="AJ29" s="253"/>
      <c r="AK29" s="199"/>
      <c r="AL29" s="295"/>
      <c r="AM29" s="295"/>
      <c r="AN29" s="295"/>
      <c r="AO29" s="295"/>
      <c r="AP29" s="295"/>
    </row>
    <row r="30" spans="1:42" s="1933" customFormat="1" ht="18.75" hidden="1" customHeight="1">
      <c r="A30" s="1247"/>
      <c r="B30" s="1247"/>
      <c r="C30" s="1247"/>
      <c r="D30" s="1247"/>
      <c r="E30" s="1247"/>
      <c r="F30" s="1247"/>
      <c r="G30" s="1247"/>
      <c r="H30" s="1247"/>
      <c r="I30" s="1247"/>
      <c r="J30" s="1247"/>
      <c r="K30" s="1247"/>
      <c r="L30" s="1248"/>
      <c r="M30" s="1247"/>
      <c r="N30" s="1247"/>
      <c r="O30" s="1247"/>
      <c r="S30" s="2213" t="s">
        <v>39</v>
      </c>
      <c r="T30" s="2213"/>
      <c r="U30" s="1251"/>
      <c r="V30" s="2214" t="str">
        <f>IF(TITLE_IST_PUB_CHANGE="",IF(TITLE_IST_PUB="","",TITLE_IST_PUB),TITLE_IST_PUB_CHANGE)</f>
        <v/>
      </c>
      <c r="W30" s="2214"/>
      <c r="X30" s="2214"/>
      <c r="Y30" s="2214"/>
      <c r="Z30" s="2214"/>
      <c r="AA30" s="2214"/>
      <c r="AB30" s="253"/>
      <c r="AC30" s="2214" t="str">
        <f>IF(TITLE_IST_PUB_CHANGE="",IF(TITLE_IST_PUB="","",TITLE_IST_PUB),TITLE_IST_PUB_CHANGE)</f>
        <v/>
      </c>
      <c r="AD30" s="2214"/>
      <c r="AE30" s="2214"/>
      <c r="AF30" s="2214"/>
      <c r="AG30" s="2214"/>
      <c r="AH30" s="2214"/>
      <c r="AI30" s="253"/>
      <c r="AJ30" s="253"/>
      <c r="AK30" s="199"/>
      <c r="AL30" s="295"/>
      <c r="AM30" s="295"/>
      <c r="AN30" s="295"/>
      <c r="AO30" s="295"/>
      <c r="AP30" s="295"/>
    </row>
    <row r="31" spans="1:42" ht="14.25" hidden="1" customHeight="1">
      <c r="Q31" s="304"/>
      <c r="R31" s="304"/>
      <c r="S31" s="1156"/>
      <c r="T31" s="289"/>
      <c r="U31" s="289"/>
      <c r="V31" s="248"/>
      <c r="W31" s="248"/>
      <c r="X31" s="248"/>
      <c r="Y31" s="248"/>
      <c r="Z31" s="248"/>
      <c r="AA31" s="248"/>
      <c r="AB31" s="248"/>
      <c r="AC31" s="248"/>
      <c r="AD31" s="248"/>
      <c r="AE31" s="248"/>
      <c r="AF31" s="248"/>
      <c r="AG31" s="248"/>
      <c r="AH31" s="248"/>
      <c r="AI31" s="248"/>
      <c r="AJ31" s="437"/>
    </row>
    <row r="32" spans="1:42" s="1933" customFormat="1" ht="18.75" hidden="1" customHeight="1">
      <c r="A32" s="1247"/>
      <c r="B32" s="1247"/>
      <c r="C32" s="1247"/>
      <c r="D32" s="1247"/>
      <c r="E32" s="1247"/>
      <c r="F32" s="1247"/>
      <c r="G32" s="1247"/>
      <c r="H32" s="1247"/>
      <c r="I32" s="1247"/>
      <c r="J32" s="1247"/>
      <c r="K32" s="1247"/>
      <c r="L32" s="1248"/>
      <c r="M32" s="1247"/>
      <c r="N32" s="1247"/>
      <c r="O32" s="1247"/>
      <c r="S32" s="2213" t="s">
        <v>1488</v>
      </c>
      <c r="T32" s="2213"/>
      <c r="U32" s="1251"/>
      <c r="V32" s="2214" t="str">
        <f>IF(TITLE_DATE_CHANGE_PERIOD="",IF(TITLE_DATE_PR="","",TITLE_DATE_PR),TITLE_DATE_CHANGE_PERIOD)</f>
        <v/>
      </c>
      <c r="W32" s="2214"/>
      <c r="X32" s="2214"/>
      <c r="Y32" s="2214"/>
      <c r="Z32" s="2214"/>
      <c r="AA32" s="2214"/>
      <c r="AB32" s="253"/>
      <c r="AC32" s="2214" t="str">
        <f>IF(TITLE_DATE_CHANGE_PERIOD="",IF(TITLE_DATE_PR="","",TITLE_DATE_PR),TITLE_DATE_CHANGE_PERIOD)</f>
        <v/>
      </c>
      <c r="AD32" s="2214"/>
      <c r="AE32" s="2214"/>
      <c r="AF32" s="2214"/>
      <c r="AG32" s="2214"/>
      <c r="AH32" s="2214"/>
      <c r="AI32" s="253"/>
      <c r="AJ32" s="253"/>
      <c r="AK32" s="199"/>
      <c r="AL32" s="295"/>
      <c r="AM32" s="295"/>
      <c r="AN32" s="295"/>
      <c r="AO32" s="295"/>
      <c r="AP32" s="295"/>
    </row>
    <row r="33" spans="1:42" s="1933" customFormat="1" ht="18.75" hidden="1" customHeight="1">
      <c r="A33" s="1247"/>
      <c r="B33" s="1247"/>
      <c r="C33" s="1247"/>
      <c r="D33" s="1247"/>
      <c r="E33" s="1247"/>
      <c r="F33" s="1247"/>
      <c r="G33" s="1247"/>
      <c r="H33" s="1247"/>
      <c r="I33" s="1247"/>
      <c r="J33" s="1247"/>
      <c r="K33" s="1247"/>
      <c r="L33" s="1248"/>
      <c r="M33" s="1247"/>
      <c r="N33" s="1247"/>
      <c r="O33" s="1247"/>
      <c r="S33" s="2213" t="s">
        <v>1489</v>
      </c>
      <c r="T33" s="2213"/>
      <c r="U33" s="1251"/>
      <c r="V33" s="2214" t="str">
        <f>IF(TITLE_NUMBER_PR_CHANGE="",IF(TITLE_NUMBER_PR="","",TITLE_NUMBER_PR),TITLE_NUMBER_PR_CHANGE)</f>
        <v/>
      </c>
      <c r="W33" s="2214"/>
      <c r="X33" s="2214"/>
      <c r="Y33" s="2214"/>
      <c r="Z33" s="2214"/>
      <c r="AA33" s="2214"/>
      <c r="AB33" s="253"/>
      <c r="AC33" s="2214" t="str">
        <f>IF(TITLE_NUMBER_PR_CHANGE="",IF(TITLE_NUMBER_PR="","",TITLE_NUMBER_PR),TITLE_NUMBER_PR_CHANGE)</f>
        <v/>
      </c>
      <c r="AD33" s="2214"/>
      <c r="AE33" s="2214"/>
      <c r="AF33" s="2214"/>
      <c r="AG33" s="2214"/>
      <c r="AH33" s="2214"/>
      <c r="AI33" s="253"/>
      <c r="AJ33" s="253"/>
      <c r="AK33" s="199"/>
      <c r="AL33" s="295"/>
      <c r="AM33" s="295"/>
      <c r="AN33" s="295"/>
      <c r="AO33" s="295"/>
      <c r="AP33" s="295"/>
    </row>
    <row r="34" spans="1:42" s="1933" customFormat="1" ht="0.75" customHeight="1">
      <c r="A34" s="1247"/>
      <c r="B34" s="1247"/>
      <c r="C34" s="1247"/>
      <c r="D34" s="1247"/>
      <c r="E34" s="1247"/>
      <c r="F34" s="1247"/>
      <c r="G34" s="1247"/>
      <c r="H34" s="1247"/>
      <c r="I34" s="1247"/>
      <c r="J34" s="1247"/>
      <c r="K34" s="1247"/>
      <c r="L34" s="1248"/>
      <c r="M34" s="1247"/>
      <c r="N34" s="1247"/>
      <c r="O34" s="1247"/>
      <c r="S34" s="250"/>
      <c r="T34" s="250"/>
      <c r="U34" s="1317"/>
      <c r="V34" s="253"/>
      <c r="W34" s="253"/>
      <c r="X34" s="253"/>
      <c r="Y34" s="253"/>
      <c r="Z34" s="253"/>
      <c r="AA34" s="253"/>
      <c r="AB34" s="197" t="s">
        <v>1490</v>
      </c>
      <c r="AC34" s="253"/>
      <c r="AD34" s="253"/>
      <c r="AE34" s="253"/>
      <c r="AF34" s="253"/>
      <c r="AG34" s="253"/>
      <c r="AH34" s="253"/>
      <c r="AI34" s="197" t="s">
        <v>1490</v>
      </c>
      <c r="AL34" s="295"/>
      <c r="AM34" s="295"/>
      <c r="AN34" s="295"/>
      <c r="AO34" s="295"/>
      <c r="AP34" s="295"/>
    </row>
    <row r="35" spans="1:42" ht="14.25" customHeight="1">
      <c r="Q35" s="304"/>
      <c r="R35" s="304"/>
      <c r="S35" s="1156"/>
      <c r="T35" s="289"/>
      <c r="U35" s="1115"/>
      <c r="V35" s="2232"/>
      <c r="W35" s="2232"/>
      <c r="X35" s="2232"/>
      <c r="Y35" s="2232"/>
      <c r="Z35" s="2232"/>
      <c r="AA35" s="2232"/>
      <c r="AB35" s="2232"/>
      <c r="AC35" s="2232"/>
      <c r="AD35" s="2232"/>
      <c r="AE35" s="2232"/>
      <c r="AF35" s="2232"/>
      <c r="AG35" s="2232"/>
      <c r="AH35" s="2232"/>
      <c r="AI35" s="2232"/>
    </row>
    <row r="36" spans="1:42" ht="14.25" customHeight="1">
      <c r="Q36" s="304"/>
      <c r="R36" s="304"/>
      <c r="S36" s="2007" t="s">
        <v>292</v>
      </c>
      <c r="T36" s="2007"/>
      <c r="U36" s="2007"/>
      <c r="V36" s="2007"/>
      <c r="W36" s="2007"/>
      <c r="X36" s="2007"/>
      <c r="Y36" s="2007"/>
      <c r="Z36" s="2007"/>
      <c r="AA36" s="2007"/>
      <c r="AB36" s="2007"/>
      <c r="AC36" s="2007"/>
      <c r="AD36" s="2007"/>
      <c r="AE36" s="2007"/>
      <c r="AF36" s="2007"/>
      <c r="AG36" s="2007"/>
      <c r="AH36" s="2007"/>
      <c r="AI36" s="2007"/>
      <c r="AJ36" s="2007"/>
      <c r="AK36" s="2007" t="s">
        <v>293</v>
      </c>
    </row>
    <row r="37" spans="1:42" ht="14.25" customHeight="1">
      <c r="Q37" s="304"/>
      <c r="R37" s="304"/>
      <c r="S37" s="2233" t="s">
        <v>87</v>
      </c>
      <c r="T37" s="2097" t="s">
        <v>1491</v>
      </c>
      <c r="U37" s="219"/>
      <c r="V37" s="2234" t="s">
        <v>1492</v>
      </c>
      <c r="W37" s="2235"/>
      <c r="X37" s="2235"/>
      <c r="Y37" s="2235"/>
      <c r="Z37" s="2235"/>
      <c r="AA37" s="2236"/>
      <c r="AB37" s="2237" t="s">
        <v>1493</v>
      </c>
      <c r="AC37" s="2234" t="s">
        <v>1492</v>
      </c>
      <c r="AD37" s="2235"/>
      <c r="AE37" s="2235"/>
      <c r="AF37" s="2235"/>
      <c r="AG37" s="2235"/>
      <c r="AH37" s="2236"/>
      <c r="AI37" s="2237" t="s">
        <v>1494</v>
      </c>
      <c r="AJ37" s="2240" t="s">
        <v>1495</v>
      </c>
      <c r="AK37" s="2007"/>
    </row>
    <row r="38" spans="1:42" ht="33.75" customHeight="1">
      <c r="Q38" s="304"/>
      <c r="R38" s="304"/>
      <c r="S38" s="2233"/>
      <c r="T38" s="2097"/>
      <c r="U38" s="924"/>
      <c r="V38" s="1315" t="s">
        <v>1686</v>
      </c>
      <c r="W38" s="1989" t="s">
        <v>1498</v>
      </c>
      <c r="X38" s="1988"/>
      <c r="Y38" s="1989" t="s">
        <v>1499</v>
      </c>
      <c r="Z38" s="1994"/>
      <c r="AA38" s="1988"/>
      <c r="AB38" s="2238"/>
      <c r="AC38" s="1315" t="s">
        <v>1686</v>
      </c>
      <c r="AD38" s="1989" t="s">
        <v>1498</v>
      </c>
      <c r="AE38" s="1988"/>
      <c r="AF38" s="1989" t="s">
        <v>1499</v>
      </c>
      <c r="AG38" s="1994"/>
      <c r="AH38" s="1988"/>
      <c r="AI38" s="2238"/>
      <c r="AJ38" s="2241"/>
      <c r="AK38" s="2007"/>
    </row>
    <row r="39" spans="1:42" ht="33.75" customHeight="1">
      <c r="A39" s="1249"/>
      <c r="B39" s="1249" t="s">
        <v>136</v>
      </c>
      <c r="C39" s="1249" t="s">
        <v>137</v>
      </c>
      <c r="D39" s="1249" t="s">
        <v>138</v>
      </c>
      <c r="E39" s="1243" t="s">
        <v>1500</v>
      </c>
      <c r="F39" s="1243" t="s">
        <v>1501</v>
      </c>
      <c r="G39" s="1243" t="s">
        <v>1502</v>
      </c>
      <c r="H39" s="1243"/>
      <c r="I39" s="1243" t="s">
        <v>1687</v>
      </c>
      <c r="J39" s="1243" t="s">
        <v>1505</v>
      </c>
      <c r="K39" s="1243" t="s">
        <v>1688</v>
      </c>
      <c r="L39" s="1243" t="s">
        <v>1481</v>
      </c>
      <c r="Q39" s="304"/>
      <c r="R39" s="304"/>
      <c r="S39" s="2233"/>
      <c r="T39" s="2097"/>
      <c r="U39" s="220"/>
      <c r="V39" s="1315" t="s">
        <v>1689</v>
      </c>
      <c r="W39" s="1090" t="s">
        <v>1690</v>
      </c>
      <c r="X39" s="1090" t="s">
        <v>1691</v>
      </c>
      <c r="Y39" s="1318" t="s">
        <v>1509</v>
      </c>
      <c r="Z39" s="2103" t="s">
        <v>1510</v>
      </c>
      <c r="AA39" s="2117"/>
      <c r="AB39" s="2239"/>
      <c r="AC39" s="1315" t="s">
        <v>1689</v>
      </c>
      <c r="AD39" s="1090" t="s">
        <v>1690</v>
      </c>
      <c r="AE39" s="1090" t="s">
        <v>1691</v>
      </c>
      <c r="AF39" s="1318" t="s">
        <v>1509</v>
      </c>
      <c r="AG39" s="2103" t="s">
        <v>1510</v>
      </c>
      <c r="AH39" s="2117"/>
      <c r="AI39" s="2239"/>
      <c r="AJ39" s="2242"/>
      <c r="AK39" s="2007"/>
    </row>
    <row r="40" spans="1:42" s="1708" customFormat="1" ht="11.25" hidden="1" customHeight="1">
      <c r="A40" s="1249"/>
      <c r="B40" s="1249"/>
      <c r="C40" s="1249"/>
      <c r="D40" s="1249"/>
      <c r="E40" s="1249"/>
      <c r="F40" s="1249"/>
      <c r="G40" s="1249"/>
      <c r="H40" s="1249"/>
      <c r="I40" s="1249"/>
      <c r="J40" s="1249"/>
      <c r="K40" s="1249"/>
      <c r="L40" s="1243"/>
      <c r="M40" s="1241"/>
      <c r="N40" s="1241"/>
      <c r="O40" s="1241"/>
      <c r="P40" s="1117"/>
      <c r="Q40" s="1118"/>
      <c r="R40" s="1133">
        <v>1</v>
      </c>
      <c r="S40" s="1158" t="s">
        <v>108</v>
      </c>
      <c r="T40" s="1134" t="s">
        <v>109</v>
      </c>
      <c r="U40" s="1116" t="str">
        <f ca="1">OFFSET(U40,0,-1)</f>
        <v>2</v>
      </c>
      <c r="V40" s="1314">
        <f ca="1">OFFSET(V40,0,-1)+1</f>
        <v>3</v>
      </c>
      <c r="W40" s="1314">
        <f ca="1">OFFSET(W40,0,-1)+1</f>
        <v>4</v>
      </c>
      <c r="X40" s="1314">
        <f ca="1">OFFSET(X40,0,-1)+1</f>
        <v>5</v>
      </c>
      <c r="Y40" s="1314">
        <f ca="1">OFFSET(Y40,0,-1)+1</f>
        <v>6</v>
      </c>
      <c r="Z40" s="2231">
        <f ca="1">OFFSET(Z40,0,-1)+1</f>
        <v>7</v>
      </c>
      <c r="AA40" s="2231"/>
      <c r="AB40" s="1314">
        <f ca="1">OFFSET(AB40,0,-2)+1</f>
        <v>8</v>
      </c>
      <c r="AC40" s="1314">
        <f ca="1">OFFSET(AC40,0,-1)+1</f>
        <v>9</v>
      </c>
      <c r="AD40" s="1314">
        <f ca="1">OFFSET(AD40,0,-1)+1</f>
        <v>10</v>
      </c>
      <c r="AE40" s="1314">
        <f ca="1">OFFSET(AE40,0,-1)+1</f>
        <v>11</v>
      </c>
      <c r="AF40" s="1314">
        <f ca="1">OFFSET(AF40,0,-1)+1</f>
        <v>12</v>
      </c>
      <c r="AG40" s="2231">
        <f ca="1">OFFSET(AG40,0,-1)+1</f>
        <v>13</v>
      </c>
      <c r="AH40" s="2231"/>
      <c r="AI40" s="1314">
        <f ca="1">OFFSET(AI40,0,-2)+1</f>
        <v>14</v>
      </c>
      <c r="AJ40" s="1116">
        <f ca="1">OFFSET(AJ40,0,-1)</f>
        <v>14</v>
      </c>
      <c r="AK40" s="1314">
        <f ca="1">OFFSET(AK40,0,-1)+1</f>
        <v>15</v>
      </c>
      <c r="AL40" s="439"/>
      <c r="AM40" s="439"/>
      <c r="AN40" s="439"/>
      <c r="AO40" s="439"/>
      <c r="AP40" s="439"/>
    </row>
    <row r="41" spans="1:42" ht="23.25" customHeight="1">
      <c r="A41" s="1242" t="s">
        <v>223</v>
      </c>
      <c r="B41" s="1242"/>
      <c r="C41" s="1242"/>
      <c r="D41" s="1242"/>
      <c r="E41" s="2221">
        <v>1</v>
      </c>
      <c r="F41" s="1242"/>
      <c r="G41" s="1242"/>
      <c r="H41" s="1242"/>
      <c r="I41" s="1242"/>
      <c r="J41" s="1242"/>
      <c r="K41" s="1242"/>
      <c r="L41" s="1243"/>
      <c r="M41" s="1244"/>
      <c r="N41" s="1244"/>
      <c r="O41" s="1244"/>
      <c r="P41" s="285"/>
      <c r="Q41" s="284"/>
      <c r="R41" s="279"/>
      <c r="S41" s="1320">
        <f>INDEX(PT_DIFFERENTIATION_NUM_NTAR,MATCH(A41,PT_DIFFERENTIATION_NTAR_ID,0))</f>
        <v>0</v>
      </c>
      <c r="T41" s="216" t="s">
        <v>124</v>
      </c>
      <c r="U41" s="218"/>
      <c r="V41" s="2215"/>
      <c r="W41" s="2216"/>
      <c r="X41" s="2216"/>
      <c r="Y41" s="2216"/>
      <c r="Z41" s="2216"/>
      <c r="AA41" s="2216"/>
      <c r="AB41" s="2217"/>
      <c r="AC41" s="2215" t="str">
        <f>INDEX(PT_DIFFERENTIATION_NTAR,MATCH(A41,PT_DIFFERENTIATION_NTAR_ID,0))</f>
        <v/>
      </c>
      <c r="AD41" s="2216"/>
      <c r="AE41" s="2216"/>
      <c r="AF41" s="2216"/>
      <c r="AG41" s="2216"/>
      <c r="AH41" s="2216"/>
      <c r="AI41" s="2216"/>
      <c r="AJ41" s="2217"/>
      <c r="AK41" s="1138"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41" s="428"/>
      <c r="AN41" s="428" t="str">
        <f t="shared" ref="AN41:AN53" si="1">IF(T41="","",T41)</f>
        <v>Наименование тарифа</v>
      </c>
      <c r="AO41" s="428"/>
      <c r="AP41" s="428"/>
    </row>
    <row r="42" spans="1:42" ht="23.25" customHeight="1">
      <c r="A42" s="1242" t="s">
        <v>223</v>
      </c>
      <c r="B42" s="1242" t="s">
        <v>224</v>
      </c>
      <c r="C42" s="1242"/>
      <c r="D42" s="1242"/>
      <c r="E42" s="2222"/>
      <c r="F42" s="2221">
        <v>1</v>
      </c>
      <c r="G42" s="1242"/>
      <c r="H42" s="1242"/>
      <c r="I42" s="1242"/>
      <c r="J42" s="1242"/>
      <c r="K42" s="1242"/>
      <c r="L42" s="1243"/>
      <c r="M42" s="1244"/>
      <c r="N42" s="1244"/>
      <c r="O42" s="1244"/>
      <c r="P42" s="1316"/>
      <c r="Q42" s="276"/>
      <c r="R42" s="277"/>
      <c r="S42" s="1320" t="str">
        <f>INDEX(PT_DIFFERENTIATION_NUM_TER,MATCH(B42,PT_DIFFERENTIATION_TER_ID,0))</f>
        <v>.</v>
      </c>
      <c r="T42" s="228" t="s">
        <v>1463</v>
      </c>
      <c r="U42" s="218"/>
      <c r="V42" s="2215"/>
      <c r="W42" s="2216"/>
      <c r="X42" s="2216"/>
      <c r="Y42" s="2216"/>
      <c r="Z42" s="2216"/>
      <c r="AA42" s="2216"/>
      <c r="AB42" s="2217"/>
      <c r="AC42" s="2215" t="str">
        <f>INDEX(PT_DIFFERENTIATION_TER,MATCH(B42,PT_DIFFERENTIATION_TER_ID,0))</f>
        <v/>
      </c>
      <c r="AD42" s="2216"/>
      <c r="AE42" s="2216"/>
      <c r="AF42" s="2216"/>
      <c r="AG42" s="2216"/>
      <c r="AH42" s="2216"/>
      <c r="AI42" s="2216"/>
      <c r="AJ42" s="2217"/>
      <c r="AK42" s="1138" t="s">
        <v>1464</v>
      </c>
      <c r="AM42" s="428"/>
      <c r="AN42" s="428" t="str">
        <f t="shared" si="1"/>
        <v>Территория действия тарифа</v>
      </c>
      <c r="AO42" s="428"/>
      <c r="AP42" s="428"/>
    </row>
    <row r="43" spans="1:42" ht="23.25" customHeight="1">
      <c r="A43" s="1242" t="s">
        <v>223</v>
      </c>
      <c r="B43" s="1242" t="s">
        <v>224</v>
      </c>
      <c r="C43" s="1242" t="s">
        <v>225</v>
      </c>
      <c r="D43" s="1242"/>
      <c r="E43" s="2222"/>
      <c r="F43" s="2222"/>
      <c r="G43" s="2221">
        <v>1</v>
      </c>
      <c r="H43" s="1242"/>
      <c r="I43" s="1242"/>
      <c r="J43" s="1242"/>
      <c r="K43" s="1242"/>
      <c r="L43" s="1243"/>
      <c r="M43" s="1244"/>
      <c r="N43" s="1244"/>
      <c r="O43" s="1244"/>
      <c r="P43" s="278"/>
      <c r="Q43" s="276"/>
      <c r="R43" s="277"/>
      <c r="S43" s="1320" t="str">
        <f>INDEX(PT_DIFFERENTIATION_NUM_CS,MATCH(C43,PT_DIFFERENTIATION_CS_ID,0))</f>
        <v>..</v>
      </c>
      <c r="T43" s="229" t="s">
        <v>1678</v>
      </c>
      <c r="U43" s="218"/>
      <c r="V43" s="2215"/>
      <c r="W43" s="2216"/>
      <c r="X43" s="2216"/>
      <c r="Y43" s="2216"/>
      <c r="Z43" s="2216"/>
      <c r="AA43" s="2216"/>
      <c r="AB43" s="2217"/>
      <c r="AC43" s="2215" t="str">
        <f>INDEX(PT_DIFFERENTIATION_CS,MATCH(C43,PT_DIFFERENTIATION_CS_ID,0))</f>
        <v/>
      </c>
      <c r="AD43" s="2216"/>
      <c r="AE43" s="2216"/>
      <c r="AF43" s="2216"/>
      <c r="AG43" s="2216"/>
      <c r="AH43" s="2216"/>
      <c r="AI43" s="2216"/>
      <c r="AJ43" s="2217"/>
      <c r="AK43" s="1138" t="s">
        <v>1679</v>
      </c>
      <c r="AM43" s="428"/>
      <c r="AN43" s="428" t="str">
        <f t="shared" si="1"/>
        <v>Наименование централизованной системы холодного водоснабжения</v>
      </c>
      <c r="AO43" s="428"/>
      <c r="AP43" s="428"/>
    </row>
    <row r="44" spans="1:42" ht="23.25" customHeight="1">
      <c r="A44" s="1242" t="s">
        <v>223</v>
      </c>
      <c r="B44" s="1242" t="s">
        <v>224</v>
      </c>
      <c r="C44" s="1242" t="s">
        <v>225</v>
      </c>
      <c r="D44" s="1242" t="s">
        <v>1695</v>
      </c>
      <c r="E44" s="2222"/>
      <c r="F44" s="2222"/>
      <c r="G44" s="2222"/>
      <c r="H44" s="2222"/>
      <c r="I44" s="2223" t="str">
        <f>S43&amp;".1"</f>
        <v>...1</v>
      </c>
      <c r="J44" s="1242"/>
      <c r="K44" s="1242"/>
      <c r="L44" s="1243"/>
      <c r="P44" s="2143">
        <v>1</v>
      </c>
      <c r="Q44" s="1313"/>
      <c r="R44" s="280"/>
      <c r="S44" s="1320" t="str">
        <f>$I44</f>
        <v>...1</v>
      </c>
      <c r="T44" s="203" t="s">
        <v>1680</v>
      </c>
      <c r="U44" s="218"/>
      <c r="V44" s="2313"/>
      <c r="W44" s="2314"/>
      <c r="X44" s="2314"/>
      <c r="Y44" s="2314"/>
      <c r="Z44" s="2314"/>
      <c r="AA44" s="2314"/>
      <c r="AB44" s="2315"/>
      <c r="AC44" s="2316"/>
      <c r="AD44" s="2317"/>
      <c r="AE44" s="2317"/>
      <c r="AF44" s="2317"/>
      <c r="AG44" s="2317"/>
      <c r="AH44" s="2317"/>
      <c r="AI44" s="2317"/>
      <c r="AJ44" s="2318"/>
      <c r="AK44" s="1138" t="s">
        <v>1681</v>
      </c>
      <c r="AM44" s="428"/>
      <c r="AN44" s="428" t="str">
        <f t="shared" si="1"/>
        <v>Наименование признака дифференциации</v>
      </c>
      <c r="AO44" s="428"/>
      <c r="AP44" s="428"/>
    </row>
    <row r="45" spans="1:42" ht="23.25" customHeight="1">
      <c r="A45" s="1242" t="s">
        <v>223</v>
      </c>
      <c r="B45" s="1242" t="s">
        <v>224</v>
      </c>
      <c r="C45" s="1242" t="s">
        <v>225</v>
      </c>
      <c r="D45" s="1242" t="s">
        <v>1695</v>
      </c>
      <c r="E45" s="2222"/>
      <c r="F45" s="2222"/>
      <c r="G45" s="2222"/>
      <c r="H45" s="2222"/>
      <c r="I45" s="2224"/>
      <c r="J45" s="2223" t="str">
        <f>I44&amp;".1"</f>
        <v>...1.1</v>
      </c>
      <c r="K45" s="1242"/>
      <c r="L45" s="1243" t="s">
        <v>1472</v>
      </c>
      <c r="P45" s="2143"/>
      <c r="Q45" s="2143">
        <v>1</v>
      </c>
      <c r="R45" s="281"/>
      <c r="S45" s="1320" t="str">
        <f>$J45</f>
        <v>...1.1</v>
      </c>
      <c r="T45" s="204" t="s">
        <v>1473</v>
      </c>
      <c r="U45" s="218"/>
      <c r="V45" s="2210"/>
      <c r="W45" s="2211"/>
      <c r="X45" s="2211"/>
      <c r="Y45" s="2211"/>
      <c r="Z45" s="2211"/>
      <c r="AA45" s="2211"/>
      <c r="AB45" s="2212"/>
      <c r="AC45" s="2210"/>
      <c r="AD45" s="2211"/>
      <c r="AE45" s="2211"/>
      <c r="AF45" s="2211"/>
      <c r="AG45" s="2211"/>
      <c r="AH45" s="2211"/>
      <c r="AI45" s="2211"/>
      <c r="AJ45" s="2212"/>
      <c r="AK45" s="1192" t="s">
        <v>1682</v>
      </c>
      <c r="AM45" s="428"/>
      <c r="AN45" s="428" t="str">
        <f t="shared" si="1"/>
        <v>Группа потребителей</v>
      </c>
      <c r="AO45" s="428"/>
      <c r="AP45" s="428"/>
    </row>
    <row r="46" spans="1:42" ht="23.25" customHeight="1">
      <c r="A46" s="1242" t="s">
        <v>223</v>
      </c>
      <c r="B46" s="1242" t="s">
        <v>224</v>
      </c>
      <c r="C46" s="1242" t="s">
        <v>225</v>
      </c>
      <c r="D46" s="1242" t="s">
        <v>1695</v>
      </c>
      <c r="E46" s="2222"/>
      <c r="F46" s="2222"/>
      <c r="G46" s="2222"/>
      <c r="H46" s="2222"/>
      <c r="I46" s="2224"/>
      <c r="J46" s="2224"/>
      <c r="K46" s="2223" t="str">
        <f>J45&amp;".1"</f>
        <v>...1.1.1</v>
      </c>
      <c r="L46" s="1243"/>
      <c r="P46" s="2143"/>
      <c r="Q46" s="2143"/>
      <c r="R46" s="281">
        <v>1</v>
      </c>
      <c r="S46" s="1320" t="str">
        <f>$K46</f>
        <v>...1.1.1</v>
      </c>
      <c r="T46" s="1304"/>
      <c r="U46" s="218"/>
      <c r="V46" s="1664"/>
      <c r="W46" s="1664"/>
      <c r="X46" s="1666"/>
      <c r="Y46" s="2225"/>
      <c r="Z46" s="2017" t="s">
        <v>62</v>
      </c>
      <c r="AA46" s="2225"/>
      <c r="AB46" s="2017" t="s">
        <v>62</v>
      </c>
      <c r="AC46" s="1664"/>
      <c r="AD46" s="1664"/>
      <c r="AE46" s="1666"/>
      <c r="AF46" s="2225"/>
      <c r="AG46" s="2017" t="s">
        <v>62</v>
      </c>
      <c r="AH46" s="2227"/>
      <c r="AI46" s="2017" t="s">
        <v>62</v>
      </c>
      <c r="AJ46" s="1703"/>
      <c r="AK46" s="2319"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46" s="439" t="e">
        <f ca="1">STRCHECKDATE(V47:AJ47)</f>
        <v>#NAME?</v>
      </c>
      <c r="AM46" s="428"/>
      <c r="AN46" s="428" t="str">
        <f t="shared" si="1"/>
        <v/>
      </c>
      <c r="AO46" s="428"/>
      <c r="AP46" s="428"/>
    </row>
    <row r="47" spans="1:42" ht="0" hidden="1" customHeight="1">
      <c r="A47" s="1242" t="s">
        <v>223</v>
      </c>
      <c r="B47" s="1242" t="s">
        <v>224</v>
      </c>
      <c r="C47" s="1242" t="s">
        <v>225</v>
      </c>
      <c r="D47" s="1242" t="s">
        <v>1695</v>
      </c>
      <c r="E47" s="2222"/>
      <c r="F47" s="2222"/>
      <c r="G47" s="2222"/>
      <c r="H47" s="2222"/>
      <c r="I47" s="2224"/>
      <c r="J47" s="2224"/>
      <c r="K47" s="2223"/>
      <c r="L47" s="1243"/>
      <c r="P47" s="2143"/>
      <c r="Q47" s="2143"/>
      <c r="R47" s="281"/>
      <c r="S47" s="1319"/>
      <c r="T47" s="218"/>
      <c r="U47" s="218"/>
      <c r="V47" s="1665"/>
      <c r="W47" s="1665"/>
      <c r="X47" s="1667" t="str">
        <f>Y46&amp;"-"&amp;AA46</f>
        <v>-</v>
      </c>
      <c r="Y47" s="2226"/>
      <c r="Z47" s="2017"/>
      <c r="AA47" s="2226"/>
      <c r="AB47" s="2017"/>
      <c r="AC47" s="1665"/>
      <c r="AD47" s="1665"/>
      <c r="AE47" s="1667" t="str">
        <f>AF46&amp;"-"&amp;AH46</f>
        <v>-</v>
      </c>
      <c r="AF47" s="2226"/>
      <c r="AG47" s="2017"/>
      <c r="AH47" s="2228"/>
      <c r="AI47" s="2017"/>
      <c r="AJ47" s="1704"/>
      <c r="AK47" s="2319"/>
      <c r="AM47" s="428"/>
      <c r="AN47" s="428" t="str">
        <f t="shared" si="1"/>
        <v/>
      </c>
      <c r="AO47" s="428"/>
      <c r="AP47" s="428"/>
    </row>
    <row r="48" spans="1:42" ht="21" customHeight="1">
      <c r="A48" s="1242" t="s">
        <v>223</v>
      </c>
      <c r="B48" s="1242" t="s">
        <v>224</v>
      </c>
      <c r="C48" s="1242" t="s">
        <v>225</v>
      </c>
      <c r="D48" s="1242" t="s">
        <v>1695</v>
      </c>
      <c r="E48" s="2222"/>
      <c r="F48" s="2222"/>
      <c r="G48" s="2222"/>
      <c r="H48" s="2222"/>
      <c r="I48" s="2224"/>
      <c r="J48" s="2223"/>
      <c r="K48" s="1242"/>
      <c r="L48" s="1243"/>
      <c r="P48" s="2143"/>
      <c r="Q48" s="2143"/>
      <c r="R48" s="280"/>
      <c r="S48" s="1159"/>
      <c r="T48" s="205" t="s">
        <v>1683</v>
      </c>
      <c r="U48" s="294"/>
      <c r="V48" s="294"/>
      <c r="W48" s="294"/>
      <c r="X48" s="294"/>
      <c r="Y48" s="294"/>
      <c r="Z48" s="294"/>
      <c r="AA48" s="294"/>
      <c r="AB48" s="294"/>
      <c r="AC48" s="294"/>
      <c r="AD48" s="294"/>
      <c r="AE48" s="294"/>
      <c r="AF48" s="294"/>
      <c r="AG48" s="294"/>
      <c r="AH48" s="294"/>
      <c r="AI48" s="294"/>
      <c r="AJ48" s="294"/>
      <c r="AK48" s="1138" t="s">
        <v>1684</v>
      </c>
      <c r="AM48" s="428"/>
      <c r="AN48" s="428" t="str">
        <f t="shared" si="1"/>
        <v>Добавить значение признака дифференциации</v>
      </c>
      <c r="AO48" s="428"/>
      <c r="AP48" s="428"/>
    </row>
    <row r="49" spans="1:42" ht="21" customHeight="1">
      <c r="A49" s="1242" t="s">
        <v>223</v>
      </c>
      <c r="B49" s="1242" t="s">
        <v>224</v>
      </c>
      <c r="C49" s="1242" t="s">
        <v>225</v>
      </c>
      <c r="D49" s="1242" t="s">
        <v>1695</v>
      </c>
      <c r="E49" s="2222"/>
      <c r="F49" s="2222"/>
      <c r="G49" s="2222"/>
      <c r="H49" s="2222"/>
      <c r="I49" s="2223"/>
      <c r="J49" s="1242"/>
      <c r="K49" s="1242"/>
      <c r="L49" s="1243"/>
      <c r="P49" s="2143"/>
      <c r="Q49" s="1313"/>
      <c r="R49" s="280"/>
      <c r="S49" s="1159"/>
      <c r="T49" s="291" t="s">
        <v>1478</v>
      </c>
      <c r="U49" s="294"/>
      <c r="V49" s="294"/>
      <c r="W49" s="294"/>
      <c r="X49" s="294"/>
      <c r="Y49" s="294"/>
      <c r="Z49" s="294"/>
      <c r="AA49" s="294"/>
      <c r="AB49" s="293"/>
      <c r="AC49" s="294"/>
      <c r="AD49" s="294"/>
      <c r="AE49" s="294"/>
      <c r="AF49" s="294"/>
      <c r="AG49" s="294"/>
      <c r="AH49" s="294"/>
      <c r="AI49" s="293"/>
      <c r="AJ49" s="294"/>
      <c r="AK49" s="1305"/>
      <c r="AM49" s="428"/>
      <c r="AN49" s="428" t="str">
        <f t="shared" si="1"/>
        <v>Добавить группу потребителей</v>
      </c>
      <c r="AO49" s="428"/>
      <c r="AP49" s="428"/>
    </row>
    <row r="50" spans="1:42" ht="21" customHeight="1">
      <c r="A50" s="1242" t="s">
        <v>223</v>
      </c>
      <c r="B50" s="1242" t="s">
        <v>224</v>
      </c>
      <c r="C50" s="1242" t="s">
        <v>225</v>
      </c>
      <c r="D50" s="1242" t="s">
        <v>1695</v>
      </c>
      <c r="E50" s="2222"/>
      <c r="F50" s="2222"/>
      <c r="G50" s="2222"/>
      <c r="H50" s="2221"/>
      <c r="I50" s="1242"/>
      <c r="J50" s="1242"/>
      <c r="K50" s="1242"/>
      <c r="L50" s="1243"/>
      <c r="M50" s="1244"/>
      <c r="N50" s="1244"/>
      <c r="O50" s="464"/>
      <c r="P50" s="284"/>
      <c r="Q50" s="303"/>
      <c r="R50" s="279"/>
      <c r="S50" s="1159"/>
      <c r="T50" s="299" t="s">
        <v>1685</v>
      </c>
      <c r="U50" s="294"/>
      <c r="V50" s="294"/>
      <c r="W50" s="294"/>
      <c r="X50" s="294"/>
      <c r="Y50" s="294"/>
      <c r="Z50" s="294"/>
      <c r="AA50" s="294"/>
      <c r="AB50" s="293"/>
      <c r="AC50" s="294"/>
      <c r="AD50" s="294"/>
      <c r="AE50" s="294"/>
      <c r="AF50" s="294"/>
      <c r="AG50" s="294"/>
      <c r="AH50" s="294"/>
      <c r="AI50" s="293"/>
      <c r="AJ50" s="294"/>
      <c r="AK50" s="221"/>
      <c r="AM50" s="428"/>
      <c r="AN50" s="428" t="str">
        <f t="shared" si="1"/>
        <v>Добавить наименование признака дифференциации</v>
      </c>
      <c r="AO50" s="428"/>
      <c r="AP50" s="428"/>
    </row>
    <row r="51" spans="1:42" s="1755" customFormat="1" ht="0.75" customHeight="1">
      <c r="A51" s="1226" t="s">
        <v>223</v>
      </c>
      <c r="B51" s="1226" t="s">
        <v>224</v>
      </c>
      <c r="C51" s="1198"/>
      <c r="D51" s="1198"/>
      <c r="E51" s="2222"/>
      <c r="F51" s="2221"/>
      <c r="G51" s="1198"/>
      <c r="H51" s="1198"/>
      <c r="I51" s="1198"/>
      <c r="J51" s="1198"/>
      <c r="K51" s="1198"/>
      <c r="L51" s="1321"/>
      <c r="M51" s="1205"/>
      <c r="N51" s="1205"/>
      <c r="P51" s="1200"/>
      <c r="Q51" s="1201"/>
      <c r="R51" s="1200"/>
      <c r="S51" s="1206"/>
      <c r="T51" s="1209" t="s">
        <v>1439</v>
      </c>
      <c r="U51" s="1208"/>
      <c r="V51" s="1208"/>
      <c r="W51" s="1208"/>
      <c r="X51" s="1208"/>
      <c r="Y51" s="1208"/>
      <c r="Z51" s="1208"/>
      <c r="AA51" s="1208"/>
      <c r="AB51" s="1208"/>
      <c r="AC51" s="1208"/>
      <c r="AD51" s="1208"/>
      <c r="AE51" s="1208"/>
      <c r="AF51" s="1208"/>
      <c r="AG51" s="1208"/>
      <c r="AH51" s="1208"/>
      <c r="AI51" s="1208"/>
      <c r="AJ51" s="1208"/>
      <c r="AK51" s="1208"/>
      <c r="AM51" s="695"/>
      <c r="AN51" s="695" t="str">
        <f t="shared" si="1"/>
        <v>Добавить централизованную систему для дифференциации</v>
      </c>
      <c r="AO51" s="695"/>
      <c r="AP51" s="695"/>
    </row>
    <row r="52" spans="1:42" s="1755" customFormat="1" ht="0.75" customHeight="1">
      <c r="A52" s="1226" t="s">
        <v>223</v>
      </c>
      <c r="B52" s="1226"/>
      <c r="C52" s="1226"/>
      <c r="D52" s="1226"/>
      <c r="E52" s="2221"/>
      <c r="F52" s="1226"/>
      <c r="G52" s="1226"/>
      <c r="H52" s="1226"/>
      <c r="I52" s="1226"/>
      <c r="J52" s="1226"/>
      <c r="K52" s="1226"/>
      <c r="L52" s="1229"/>
      <c r="M52" s="1205"/>
      <c r="N52" s="1205"/>
      <c r="O52" s="446"/>
      <c r="P52" s="311"/>
      <c r="Q52" s="1227"/>
      <c r="R52" s="311"/>
      <c r="S52" s="1206"/>
      <c r="T52" s="1209" t="s">
        <v>1440</v>
      </c>
      <c r="U52" s="1208"/>
      <c r="V52" s="1208"/>
      <c r="W52" s="1208"/>
      <c r="X52" s="1208"/>
      <c r="Y52" s="1208"/>
      <c r="Z52" s="1208"/>
      <c r="AA52" s="1208"/>
      <c r="AB52" s="1208"/>
      <c r="AC52" s="1208"/>
      <c r="AD52" s="1208"/>
      <c r="AE52" s="1208"/>
      <c r="AF52" s="1208"/>
      <c r="AG52" s="1208"/>
      <c r="AH52" s="1208"/>
      <c r="AI52" s="1208"/>
      <c r="AJ52" s="1208"/>
      <c r="AK52" s="1208"/>
      <c r="AM52" s="428"/>
      <c r="AN52" s="428" t="str">
        <f t="shared" si="1"/>
        <v>Добавить территорию для дифференциации</v>
      </c>
      <c r="AO52" s="428"/>
      <c r="AP52" s="428"/>
    </row>
    <row r="53" spans="1:42" s="1755" customFormat="1" ht="0.75" customHeight="1">
      <c r="A53" s="1198"/>
      <c r="B53" s="1198"/>
      <c r="C53" s="1198"/>
      <c r="D53" s="1198"/>
      <c r="E53" s="1226"/>
      <c r="F53" s="1198"/>
      <c r="G53" s="1198"/>
      <c r="H53" s="1198"/>
      <c r="I53" s="1198"/>
      <c r="J53" s="1198"/>
      <c r="K53" s="1198"/>
      <c r="L53" s="1321"/>
      <c r="M53" s="1205"/>
      <c r="N53" s="1205"/>
      <c r="P53" s="1200"/>
      <c r="Q53" s="1201"/>
      <c r="R53" s="1200"/>
      <c r="S53" s="1206"/>
      <c r="T53" s="1209" t="s">
        <v>1441</v>
      </c>
      <c r="U53" s="1208"/>
      <c r="V53" s="1208"/>
      <c r="W53" s="1208"/>
      <c r="X53" s="1208"/>
      <c r="Y53" s="1208"/>
      <c r="Z53" s="1208"/>
      <c r="AA53" s="1208"/>
      <c r="AB53" s="1208"/>
      <c r="AC53" s="1208"/>
      <c r="AD53" s="1208"/>
      <c r="AE53" s="1208"/>
      <c r="AF53" s="1208"/>
      <c r="AG53" s="1208"/>
      <c r="AH53" s="1208"/>
      <c r="AI53" s="1208"/>
      <c r="AJ53" s="1208"/>
      <c r="AK53" s="1208"/>
      <c r="AM53" s="695"/>
      <c r="AN53" s="695" t="str">
        <f t="shared" si="1"/>
        <v>Добавить наименование тарифа</v>
      </c>
      <c r="AO53" s="695"/>
      <c r="AP53" s="695"/>
    </row>
    <row r="54" spans="1:42" ht="11.25" hidden="1" customHeight="1">
      <c r="M54" s="1034"/>
      <c r="N54" s="1034"/>
      <c r="O54" s="464"/>
      <c r="P54" s="1029"/>
      <c r="Q54" s="1029"/>
      <c r="R54" s="1029"/>
      <c r="S54" s="1029"/>
      <c r="AL54" s="1029"/>
      <c r="AM54" s="1029"/>
      <c r="AN54" s="1029"/>
      <c r="AO54" s="1029"/>
      <c r="AP54" s="1029"/>
    </row>
    <row r="55" spans="1:42" ht="14.25" hidden="1" customHeight="1">
      <c r="O55" s="464"/>
      <c r="S55" s="1126" t="s">
        <v>1511</v>
      </c>
      <c r="T55" s="2220" t="s">
        <v>1693</v>
      </c>
      <c r="U55" s="2220"/>
      <c r="V55" s="2220"/>
      <c r="W55" s="2220"/>
      <c r="X55" s="2220"/>
      <c r="Y55" s="2220"/>
      <c r="Z55" s="2220"/>
      <c r="AA55" s="2220"/>
      <c r="AB55" s="2220"/>
      <c r="AC55" s="2220"/>
      <c r="AD55" s="2220"/>
      <c r="AE55" s="2220"/>
      <c r="AF55" s="2220"/>
      <c r="AG55" s="2220"/>
      <c r="AH55" s="2220"/>
      <c r="AI55" s="2220"/>
      <c r="AJ55" s="2220"/>
      <c r="AK55" s="2220"/>
    </row>
    <row r="56" spans="1:42" ht="14.25" hidden="1" customHeight="1">
      <c r="O56" s="464"/>
    </row>
    <row r="57" spans="1:42" ht="14.25" hidden="1" customHeight="1">
      <c r="O57" s="464"/>
      <c r="S57" s="1126" t="s">
        <v>1511</v>
      </c>
      <c r="T57" s="2220" t="s">
        <v>1694</v>
      </c>
      <c r="U57" s="2220"/>
      <c r="V57" s="2220"/>
      <c r="W57" s="2220"/>
      <c r="X57" s="2220"/>
      <c r="Y57" s="2220"/>
      <c r="Z57" s="2220"/>
      <c r="AA57" s="2220"/>
      <c r="AB57" s="2220"/>
      <c r="AC57" s="2220"/>
      <c r="AD57" s="2220"/>
      <c r="AE57" s="2220"/>
      <c r="AF57" s="2220"/>
      <c r="AG57" s="2220"/>
      <c r="AH57" s="2220"/>
      <c r="AI57" s="2220"/>
      <c r="AJ57" s="2220"/>
      <c r="AK57" s="2220"/>
    </row>
  </sheetData>
  <sheetProtection formatColumns="0" formatRows="0" insertRows="0" deleteColumns="0" deleteRows="0" sort="0" autoFilter="0"/>
  <mergeCells count="101">
    <mergeCell ref="T55:AK55"/>
    <mergeCell ref="T57:AK57"/>
    <mergeCell ref="V35:AB35"/>
    <mergeCell ref="S32:T32"/>
    <mergeCell ref="V32:AA32"/>
    <mergeCell ref="AC32:AH32"/>
    <mergeCell ref="S33:T33"/>
    <mergeCell ref="V33:AA33"/>
    <mergeCell ref="AC33:AH33"/>
    <mergeCell ref="AC35:AI35"/>
    <mergeCell ref="Z40:AA40"/>
    <mergeCell ref="AG40:AH40"/>
    <mergeCell ref="S36:AJ36"/>
    <mergeCell ref="AK36:AK39"/>
    <mergeCell ref="S37:S39"/>
    <mergeCell ref="T37:T39"/>
    <mergeCell ref="V37:AA37"/>
    <mergeCell ref="AB37:AB39"/>
    <mergeCell ref="AG46:AG47"/>
    <mergeCell ref="AH46:AH47"/>
    <mergeCell ref="AI46:AI47"/>
    <mergeCell ref="AJ37:AJ39"/>
    <mergeCell ref="AC37:AH37"/>
    <mergeCell ref="W38:X38"/>
    <mergeCell ref="S29:T29"/>
    <mergeCell ref="F3:F12"/>
    <mergeCell ref="V3:AB3"/>
    <mergeCell ref="AC3:AJ3"/>
    <mergeCell ref="G4:G11"/>
    <mergeCell ref="V4:AB4"/>
    <mergeCell ref="AC4:AJ4"/>
    <mergeCell ref="H5:H11"/>
    <mergeCell ref="I5:I10"/>
    <mergeCell ref="P5:P10"/>
    <mergeCell ref="V5:AB5"/>
    <mergeCell ref="AC5:AJ5"/>
    <mergeCell ref="J6:J9"/>
    <mergeCell ref="Q6:Q9"/>
    <mergeCell ref="K7:K8"/>
    <mergeCell ref="Y7:Y8"/>
    <mergeCell ref="V6:AB6"/>
    <mergeCell ref="AC6:AJ6"/>
    <mergeCell ref="AC28:AH28"/>
    <mergeCell ref="Z7:Z8"/>
    <mergeCell ref="AA7:AA8"/>
    <mergeCell ref="AB7:AB8"/>
    <mergeCell ref="AF7:AF8"/>
    <mergeCell ref="AK7:AK8"/>
    <mergeCell ref="AF15:AF16"/>
    <mergeCell ref="AG15:AG16"/>
    <mergeCell ref="AH15:AH16"/>
    <mergeCell ref="AI15:AI16"/>
    <mergeCell ref="Z46:Z47"/>
    <mergeCell ref="AC45:AJ45"/>
    <mergeCell ref="AA46:AA47"/>
    <mergeCell ref="AB46:AB47"/>
    <mergeCell ref="AF46:AF47"/>
    <mergeCell ref="AK46:AK47"/>
    <mergeCell ref="E2:E13"/>
    <mergeCell ref="V2:AB2"/>
    <mergeCell ref="AC2:AJ2"/>
    <mergeCell ref="AI37:AI39"/>
    <mergeCell ref="V29:AA29"/>
    <mergeCell ref="AC29:AH29"/>
    <mergeCell ref="V30:AA30"/>
    <mergeCell ref="AC30:AH30"/>
    <mergeCell ref="Z39:AA39"/>
    <mergeCell ref="AG39:AH39"/>
    <mergeCell ref="AI7:AI8"/>
    <mergeCell ref="S30:T30"/>
    <mergeCell ref="S24:AH24"/>
    <mergeCell ref="S25:AH25"/>
    <mergeCell ref="S27:T27"/>
    <mergeCell ref="V27:AA27"/>
    <mergeCell ref="AC27:AH27"/>
    <mergeCell ref="S28:T28"/>
    <mergeCell ref="V28:AA28"/>
    <mergeCell ref="Y38:AA38"/>
    <mergeCell ref="AD38:AE38"/>
    <mergeCell ref="AF38:AH38"/>
    <mergeCell ref="AG7:AG8"/>
    <mergeCell ref="AH7:AH8"/>
    <mergeCell ref="E41:E52"/>
    <mergeCell ref="V41:AB41"/>
    <mergeCell ref="AC41:AJ41"/>
    <mergeCell ref="F42:F51"/>
    <mergeCell ref="V42:AB42"/>
    <mergeCell ref="AC42:AJ42"/>
    <mergeCell ref="G43:G50"/>
    <mergeCell ref="V43:AB43"/>
    <mergeCell ref="AC43:AJ43"/>
    <mergeCell ref="H44:H50"/>
    <mergeCell ref="I44:I49"/>
    <mergeCell ref="P44:P49"/>
    <mergeCell ref="V44:AB44"/>
    <mergeCell ref="AC44:AJ44"/>
    <mergeCell ref="J45:J48"/>
    <mergeCell ref="Q45:Q48"/>
    <mergeCell ref="V45:AB45"/>
    <mergeCell ref="K46:K47"/>
    <mergeCell ref="Y46:Y47"/>
  </mergeCells>
  <dataValidations count="8">
    <dataValidation allowBlank="1" showInputMessage="1" showErrorMessage="1" prompt="Для выбора выполните двойной щелчок левой клавиши мыши по соответствующей ячейке." sqref="Z65578 Z131114 Z196650 Z262186 Z327722 Z393258 Z458794 Z524330 Z589866 Z655402 Z720938 Z786474 Z852010 Z917546 Z983082 AB131114 AB458794 AB196650 AB262186 AB327722 AB393258 AB524330 AB589866 AB655402 AB720938 AB786474 AB852010 AB917546 AB983082 AB65578 AG65578 AG131114 AG196650 AG262186 AG327722 AG393258 AG458794 AG524330 AG589866 AG655402 AG720938 AG786474 AG852010 AG917546 AG983082 AI46 AI524330 AI196650 AI589866 AI655402 AI15 AI720938 AI786474 AI852010 AI917546 AI983082 AI65578 AI131114 AI458794 AI262186 AG46 AI7 Z46 AB46 AG15 AG7 Z7 AB7 AI327722 AI393258"/>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Y65578 Y131114 Y196650 Y262186 Y327722 Y393258 Y458794 Y524330 Y589866 Y655402 Y720938 Y786474 Y852010 Y917546 Y983082 AA65578 AA131114 AA196650 AA262186 AA327722 AA393258 AA458794 AA524330 AA589866 AA655402 AA720938 AA786474 AA852010 AA917546 AA983082 AF15 AF65578 AF131114 AF196650 AF262186 AF327722 AF393258 AF458794 AF524330 AF589866 AF655402 AF720938 AF786474 AF852010 AF917546 AF983082 AH65578 AH131114 AH196650 AH262186 AH327722 AH393258 AH458794 AH524330 AH589866 AH655402 AH720938 AH786474 AH852010 AH917546 AH983082 AH46 AF46 AH15 Y46 AA46 AH7 AF7 Y7 AA7"/>
    <dataValidation type="list" allowBlank="1" showInputMessage="1" showErrorMessage="1" errorTitle="Ошибка" error="Выберите значение из списка" sqref="T65578 T131114 T196650 T262186 T327722 T393258 T458794 T524330 T589866 T655402 T720938 T786474 T852010 T917546 T983082">
      <formula1>kind_of_heat_transfer</formula1>
    </dataValidation>
    <dataValidation type="textLength" operator="lessThanOrEqual" allowBlank="1" showInputMessage="1" showErrorMessage="1" errorTitle="Ошибка" error="Допускается ввод не более 900 символов!" sqref="AK65572:AK65579 AK131108:AK131115 AK196644:AK196651 AK262180:AK262187 AK327716:AK327723 AK393252:AK393259 AK458788:AK458795 AK524324:AK524331 AK589860:AK589867 AK655396:AK655403 AK720932:AK720939 AK786468:AK786475 AK852004:AK852011 AK917540:AK917547 AK983076:AK983083 T46 T7 AC44:AJ44 AC5:AJ5">
      <formula1>900</formula1>
    </dataValidation>
    <dataValidation type="list" allowBlank="1" showInputMessage="1" showErrorMessage="1" errorTitle="Ошибка" error="Выберите значение из списка" sqref="V983080 V65576 V131112 V196648 V262184 V327720 V393256 V458792 V524328 V589864 V655400 V720936 V786472 V852008 V917544 AC983080 AC65576 AC131112 AC196648 AC262184 AC327720 AC393256 AC458792 AC524328 AC589864 AC655400 AC720936 AC786472 AC852008 AC917544">
      <formula1>kind_of_scheme_in</formula1>
    </dataValidation>
    <dataValidation allowBlank="1" promptTitle="checkPeriodRange" sqref="X65579 X131115 X196651 X262187 X327723 X393259 X458795 X524331 X589867 X655403 X720939 X786475 X852011 X917547 X983083 AE16 AE65579 AE131115 AE196651 AE262187 AE327723 AE393259 AE458795 AE524331 AE589867 AE655403 AE720939 AE786475 AE852011 AE917547 AE983083 X47 AE8 X8 AE47"/>
    <dataValidation type="list" allowBlank="1" showInputMessage="1" errorTitle="Ошибка" error="Выберите значение из списка" prompt="Выберите значение из списка" sqref="V983081:AJ983081 V65577:AJ65577 V131113:AJ131113 V196649:AJ196649 V262185:AJ262185 V327721:AJ327721 V393257:AJ393257 V458793:AJ458793 V524329:AJ524329 V589865:AJ589865 V655401:AJ655401 V720937:AJ720937 V786473:AJ786473 V852009:AJ852009 V917545:AJ917545">
      <formula1>kind_of_cons</formula1>
    </dataValidation>
    <dataValidation allowBlank="1" sqref="S131116:AK131122 S196652:AK196658 S262188:AK262194 S327724:AK327730 S393260:AK393266 S458796:AK458802 S524332:AK524338 S589868:AK589874 S655404:AK655410 S720940:AK720946 S786476:AK786482 S852012:AK852018 S917548:AK917554 S983084:AK983090 S65580:AK65586"/>
  </dataValidation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39997558519241921"/>
  </sheetPr>
  <dimension ref="A1:AP57"/>
  <sheetViews>
    <sheetView showGridLines="0" topLeftCell="P23" zoomScale="90" workbookViewId="0"/>
  </sheetViews>
  <sheetFormatPr defaultColWidth="10.5703125" defaultRowHeight="14.25" customHeight="1"/>
  <cols>
    <col min="1" max="1" width="10.5703125" style="1742" hidden="1"/>
    <col min="2" max="2" width="11" style="1742" hidden="1" customWidth="1"/>
    <col min="3" max="3" width="10.5703125" style="1742" hidden="1"/>
    <col min="4" max="4" width="11.85546875" style="1742" hidden="1" customWidth="1"/>
    <col min="5" max="5" width="10" style="1742" hidden="1" customWidth="1"/>
    <col min="6" max="6" width="8.7109375" style="1742" hidden="1" customWidth="1"/>
    <col min="7" max="7" width="7.5703125" style="1742" hidden="1" customWidth="1"/>
    <col min="8" max="8" width="11.42578125" style="1742" hidden="1" customWidth="1"/>
    <col min="9" max="9" width="14.140625" style="1742" hidden="1" customWidth="1"/>
    <col min="10" max="10" width="9.85546875" style="1742" hidden="1" customWidth="1"/>
    <col min="11" max="11" width="14.7109375" style="1742" hidden="1" customWidth="1"/>
    <col min="12" max="12" width="19.140625" style="1741" hidden="1" customWidth="1"/>
    <col min="13" max="14" width="12.28515625" style="1683" hidden="1" customWidth="1"/>
    <col min="15" max="15" width="23.42578125" style="1683" hidden="1" customWidth="1"/>
    <col min="16" max="16" width="3.7109375" style="1720" customWidth="1"/>
    <col min="17" max="18" width="3.7109375" style="1674" customWidth="1"/>
    <col min="19" max="19" width="12.7109375" style="1713" customWidth="1"/>
    <col min="20" max="20" width="35.7109375" style="1829" customWidth="1"/>
    <col min="21" max="21" width="0.140625" style="1829" customWidth="1"/>
    <col min="22" max="24" width="24.7109375" style="1829" hidden="1" customWidth="1"/>
    <col min="25" max="25" width="11.7109375" style="1829" hidden="1" customWidth="1"/>
    <col min="26" max="26" width="3.7109375" style="1829" hidden="1" customWidth="1"/>
    <col min="27" max="27" width="11.7109375" style="1829" hidden="1" customWidth="1"/>
    <col min="28" max="28" width="8.5703125" style="1829" hidden="1" customWidth="1"/>
    <col min="29" max="31" width="24.7109375" style="1829" customWidth="1"/>
    <col min="32" max="32" width="11.7109375" style="1829" customWidth="1"/>
    <col min="33" max="33" width="3.7109375" style="1829" customWidth="1"/>
    <col min="34" max="34" width="11.7109375" style="1829" customWidth="1"/>
    <col min="35" max="35" width="8.5703125" style="1829" hidden="1" customWidth="1"/>
    <col min="36" max="36" width="4.7109375" style="1829" customWidth="1"/>
    <col min="37" max="37" width="115.7109375" style="1829" customWidth="1"/>
    <col min="38" max="39" width="10.5703125" style="1755"/>
    <col min="40" max="40" width="11.140625" style="1755" customWidth="1"/>
    <col min="41" max="42" width="10.5703125" style="1755"/>
  </cols>
  <sheetData>
    <row r="1" spans="1:42" ht="14.25" hidden="1" customHeight="1">
      <c r="X1" s="254"/>
      <c r="Y1" s="254"/>
      <c r="AE1" s="254"/>
      <c r="AF1" s="254"/>
    </row>
    <row r="2" spans="1:42" ht="23.25" hidden="1" customHeight="1">
      <c r="A2" s="1242"/>
      <c r="B2" s="1242"/>
      <c r="C2" s="1242"/>
      <c r="D2" s="1242"/>
      <c r="E2" s="2221">
        <v>1</v>
      </c>
      <c r="F2" s="1242"/>
      <c r="G2" s="1242"/>
      <c r="H2" s="1242"/>
      <c r="I2" s="1242"/>
      <c r="J2" s="1242"/>
      <c r="K2" s="1242"/>
      <c r="L2" s="1243"/>
      <c r="M2" s="1244"/>
      <c r="N2" s="1244"/>
      <c r="O2" s="1244"/>
      <c r="P2" s="285"/>
      <c r="Q2" s="284"/>
      <c r="R2" s="279"/>
      <c r="S2" s="1320" t="e">
        <f>INDEX(PT_DIFFERENTIATION_NUM_NTAR,MATCH(A2,PT_DIFFERENTIATION_NTAR_ID,0))</f>
        <v>#N/A</v>
      </c>
      <c r="T2" s="216" t="s">
        <v>124</v>
      </c>
      <c r="U2" s="218"/>
      <c r="V2" s="2215"/>
      <c r="W2" s="2216"/>
      <c r="X2" s="2216"/>
      <c r="Y2" s="2216"/>
      <c r="Z2" s="2216"/>
      <c r="AA2" s="2216"/>
      <c r="AB2" s="2217"/>
      <c r="AC2" s="2215" t="e">
        <f>INDEX(PT_DIFFERENTIATION_NTAR,MATCH(A2,PT_DIFFERENTIATION_NTAR_ID,0))</f>
        <v>#N/A</v>
      </c>
      <c r="AD2" s="2216"/>
      <c r="AE2" s="2216"/>
      <c r="AF2" s="2216"/>
      <c r="AG2" s="2216"/>
      <c r="AH2" s="2216"/>
      <c r="AI2" s="2216"/>
      <c r="AJ2" s="2217"/>
      <c r="AK2" s="1138"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2" s="428"/>
      <c r="AN2" s="428" t="str">
        <f t="shared" ref="AN2:AN13" si="0">IF(T2="","",T2)</f>
        <v>Наименование тарифа</v>
      </c>
      <c r="AO2" s="428"/>
      <c r="AP2" s="428"/>
    </row>
    <row r="3" spans="1:42" ht="23.25" hidden="1" customHeight="1">
      <c r="A3" s="1242"/>
      <c r="B3" s="1242"/>
      <c r="C3" s="1242"/>
      <c r="D3" s="1242"/>
      <c r="E3" s="2222"/>
      <c r="F3" s="2221">
        <v>1</v>
      </c>
      <c r="G3" s="1242"/>
      <c r="H3" s="1242"/>
      <c r="I3" s="1242"/>
      <c r="J3" s="1242"/>
      <c r="K3" s="1242"/>
      <c r="L3" s="1243"/>
      <c r="M3" s="1244"/>
      <c r="N3" s="1244"/>
      <c r="O3" s="1244"/>
      <c r="P3" s="1316"/>
      <c r="Q3" s="276"/>
      <c r="R3" s="277"/>
      <c r="S3" s="1320" t="e">
        <f>INDEX(PT_DIFFERENTIATION_NUM_TER,MATCH(B3,PT_DIFFERENTIATION_TER_ID,0))</f>
        <v>#N/A</v>
      </c>
      <c r="T3" s="228" t="s">
        <v>1463</v>
      </c>
      <c r="U3" s="218"/>
      <c r="V3" s="2215"/>
      <c r="W3" s="2216"/>
      <c r="X3" s="2216"/>
      <c r="Y3" s="2216"/>
      <c r="Z3" s="2216"/>
      <c r="AA3" s="2216"/>
      <c r="AB3" s="2217"/>
      <c r="AC3" s="2215" t="e">
        <f>INDEX(PT_DIFFERENTIATION_TER,MATCH(B3,PT_DIFFERENTIATION_TER_ID,0))</f>
        <v>#N/A</v>
      </c>
      <c r="AD3" s="2216"/>
      <c r="AE3" s="2216"/>
      <c r="AF3" s="2216"/>
      <c r="AG3" s="2216"/>
      <c r="AH3" s="2216"/>
      <c r="AI3" s="2216"/>
      <c r="AJ3" s="2217"/>
      <c r="AK3" s="1138" t="s">
        <v>1464</v>
      </c>
      <c r="AM3" s="428"/>
      <c r="AN3" s="428" t="str">
        <f t="shared" si="0"/>
        <v>Территория действия тарифа</v>
      </c>
      <c r="AO3" s="428"/>
      <c r="AP3" s="428"/>
    </row>
    <row r="4" spans="1:42" ht="23.25" hidden="1" customHeight="1">
      <c r="A4" s="1242"/>
      <c r="B4" s="1242"/>
      <c r="C4" s="1242"/>
      <c r="D4" s="1242"/>
      <c r="E4" s="2222"/>
      <c r="F4" s="2222"/>
      <c r="G4" s="2221">
        <v>1</v>
      </c>
      <c r="H4" s="1242"/>
      <c r="I4" s="1242"/>
      <c r="J4" s="1242"/>
      <c r="K4" s="1242"/>
      <c r="L4" s="1243"/>
      <c r="M4" s="1244"/>
      <c r="N4" s="1244"/>
      <c r="O4" s="1244"/>
      <c r="P4" s="278"/>
      <c r="Q4" s="276"/>
      <c r="R4" s="277"/>
      <c r="S4" s="1320" t="e">
        <f>INDEX(PT_DIFFERENTIATION_NUM_CS,MATCH(C4,PT_DIFFERENTIATION_CS_ID,0))</f>
        <v>#N/A</v>
      </c>
      <c r="T4" s="229" t="s">
        <v>1678</v>
      </c>
      <c r="U4" s="218"/>
      <c r="V4" s="2215"/>
      <c r="W4" s="2216"/>
      <c r="X4" s="2216"/>
      <c r="Y4" s="2216"/>
      <c r="Z4" s="2216"/>
      <c r="AA4" s="2216"/>
      <c r="AB4" s="2217"/>
      <c r="AC4" s="2215" t="e">
        <f>INDEX(PT_DIFFERENTIATION_CS,MATCH(C4,PT_DIFFERENTIATION_CS_ID,0))</f>
        <v>#N/A</v>
      </c>
      <c r="AD4" s="2216"/>
      <c r="AE4" s="2216"/>
      <c r="AF4" s="2216"/>
      <c r="AG4" s="2216"/>
      <c r="AH4" s="2216"/>
      <c r="AI4" s="2216"/>
      <c r="AJ4" s="2217"/>
      <c r="AK4" s="1138" t="s">
        <v>1679</v>
      </c>
      <c r="AM4" s="428"/>
      <c r="AN4" s="428" t="str">
        <f t="shared" si="0"/>
        <v>Наименование централизованной системы холодного водоснабжения</v>
      </c>
      <c r="AO4" s="428"/>
      <c r="AP4" s="428"/>
    </row>
    <row r="5" spans="1:42" ht="23.25" hidden="1" customHeight="1">
      <c r="A5" s="1242"/>
      <c r="B5" s="1242"/>
      <c r="C5" s="1242"/>
      <c r="D5" s="1242"/>
      <c r="E5" s="2222"/>
      <c r="F5" s="2222"/>
      <c r="G5" s="2222"/>
      <c r="H5" s="2222"/>
      <c r="I5" s="2223" t="e">
        <f>S4&amp;".1"</f>
        <v>#N/A</v>
      </c>
      <c r="J5" s="1242"/>
      <c r="K5" s="1242"/>
      <c r="L5" s="1243"/>
      <c r="P5" s="2143">
        <v>1</v>
      </c>
      <c r="Q5" s="1313"/>
      <c r="R5" s="280"/>
      <c r="S5" s="1320" t="e">
        <f>$I5</f>
        <v>#N/A</v>
      </c>
      <c r="T5" s="203" t="s">
        <v>1680</v>
      </c>
      <c r="U5" s="218"/>
      <c r="V5" s="2313"/>
      <c r="W5" s="2314"/>
      <c r="X5" s="2314"/>
      <c r="Y5" s="2314"/>
      <c r="Z5" s="2314"/>
      <c r="AA5" s="2314"/>
      <c r="AB5" s="2315"/>
      <c r="AC5" s="2316"/>
      <c r="AD5" s="2317"/>
      <c r="AE5" s="2317"/>
      <c r="AF5" s="2317"/>
      <c r="AG5" s="2317"/>
      <c r="AH5" s="2317"/>
      <c r="AI5" s="2317"/>
      <c r="AJ5" s="2318"/>
      <c r="AK5" s="1138" t="s">
        <v>1681</v>
      </c>
      <c r="AM5" s="428"/>
      <c r="AN5" s="428" t="str">
        <f t="shared" si="0"/>
        <v>Наименование признака дифференциации</v>
      </c>
      <c r="AO5" s="428"/>
      <c r="AP5" s="428"/>
    </row>
    <row r="6" spans="1:42" ht="23.25" hidden="1" customHeight="1">
      <c r="A6" s="1242"/>
      <c r="B6" s="1242"/>
      <c r="C6" s="1242"/>
      <c r="D6" s="1242"/>
      <c r="E6" s="2222"/>
      <c r="F6" s="2222"/>
      <c r="G6" s="2222"/>
      <c r="H6" s="2222"/>
      <c r="I6" s="2224"/>
      <c r="J6" s="2223" t="e">
        <f>I5&amp;".1"</f>
        <v>#N/A</v>
      </c>
      <c r="K6" s="1242"/>
      <c r="L6" s="1243" t="s">
        <v>1472</v>
      </c>
      <c r="P6" s="2143"/>
      <c r="Q6" s="2143">
        <v>1</v>
      </c>
      <c r="R6" s="281"/>
      <c r="S6" s="1320" t="e">
        <f>$J6</f>
        <v>#N/A</v>
      </c>
      <c r="T6" s="204" t="s">
        <v>1473</v>
      </c>
      <c r="U6" s="218"/>
      <c r="V6" s="2210"/>
      <c r="W6" s="2211"/>
      <c r="X6" s="2211"/>
      <c r="Y6" s="2211"/>
      <c r="Z6" s="2211"/>
      <c r="AA6" s="2211"/>
      <c r="AB6" s="2212"/>
      <c r="AC6" s="2210"/>
      <c r="AD6" s="2211"/>
      <c r="AE6" s="2211"/>
      <c r="AF6" s="2211"/>
      <c r="AG6" s="2211"/>
      <c r="AH6" s="2211"/>
      <c r="AI6" s="2211"/>
      <c r="AJ6" s="2212"/>
      <c r="AK6" s="1192" t="s">
        <v>1682</v>
      </c>
      <c r="AM6" s="428"/>
      <c r="AN6" s="428" t="str">
        <f t="shared" si="0"/>
        <v>Группа потребителей</v>
      </c>
      <c r="AO6" s="428"/>
      <c r="AP6" s="428"/>
    </row>
    <row r="7" spans="1:42" ht="23.25" hidden="1" customHeight="1">
      <c r="A7" s="1242"/>
      <c r="B7" s="1242"/>
      <c r="C7" s="1242"/>
      <c r="D7" s="1242"/>
      <c r="E7" s="2222"/>
      <c r="F7" s="2222"/>
      <c r="G7" s="2222"/>
      <c r="H7" s="2222"/>
      <c r="I7" s="2224"/>
      <c r="J7" s="2224"/>
      <c r="K7" s="2223" t="e">
        <f>J6&amp;".1"</f>
        <v>#N/A</v>
      </c>
      <c r="L7" s="1243"/>
      <c r="P7" s="2143"/>
      <c r="Q7" s="2143"/>
      <c r="R7" s="281">
        <v>1</v>
      </c>
      <c r="S7" s="1320" t="e">
        <f>$K7</f>
        <v>#N/A</v>
      </c>
      <c r="T7" s="1304"/>
      <c r="U7" s="218"/>
      <c r="V7" s="1664"/>
      <c r="W7" s="1664"/>
      <c r="X7" s="1666"/>
      <c r="Y7" s="2225"/>
      <c r="Z7" s="2017" t="s">
        <v>62</v>
      </c>
      <c r="AA7" s="2225"/>
      <c r="AB7" s="2017" t="s">
        <v>62</v>
      </c>
      <c r="AC7" s="1664"/>
      <c r="AD7" s="1664"/>
      <c r="AE7" s="1666"/>
      <c r="AF7" s="2225"/>
      <c r="AG7" s="2017" t="s">
        <v>62</v>
      </c>
      <c r="AH7" s="2227"/>
      <c r="AI7" s="2017" t="s">
        <v>62</v>
      </c>
      <c r="AJ7" s="1703"/>
      <c r="AK7" s="2319"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7" s="439" t="e">
        <f ca="1">STRCHECKDATE(V8:AJ8)</f>
        <v>#NAME?</v>
      </c>
      <c r="AM7" s="428"/>
      <c r="AN7" s="428" t="str">
        <f t="shared" si="0"/>
        <v/>
      </c>
      <c r="AO7" s="428"/>
      <c r="AP7" s="428"/>
    </row>
    <row r="8" spans="1:42" ht="0.75" hidden="1" customHeight="1">
      <c r="A8" s="1242"/>
      <c r="B8" s="1242"/>
      <c r="C8" s="1242"/>
      <c r="D8" s="1242"/>
      <c r="E8" s="2222"/>
      <c r="F8" s="2222"/>
      <c r="G8" s="2222"/>
      <c r="H8" s="2222"/>
      <c r="I8" s="2224"/>
      <c r="J8" s="2224"/>
      <c r="K8" s="2223"/>
      <c r="L8" s="1243"/>
      <c r="P8" s="2143"/>
      <c r="Q8" s="2143"/>
      <c r="R8" s="281"/>
      <c r="S8" s="1319"/>
      <c r="T8" s="218"/>
      <c r="U8" s="218"/>
      <c r="V8" s="1665"/>
      <c r="W8" s="1665"/>
      <c r="X8" s="1667" t="str">
        <f>Y7&amp;"-"&amp;AA7</f>
        <v>-</v>
      </c>
      <c r="Y8" s="2226"/>
      <c r="Z8" s="2017"/>
      <c r="AA8" s="2226"/>
      <c r="AB8" s="2017"/>
      <c r="AC8" s="1665"/>
      <c r="AD8" s="1665"/>
      <c r="AE8" s="1667" t="str">
        <f>AF7&amp;"-"&amp;AH7</f>
        <v>-</v>
      </c>
      <c r="AF8" s="2226"/>
      <c r="AG8" s="2017"/>
      <c r="AH8" s="2228"/>
      <c r="AI8" s="2017"/>
      <c r="AJ8" s="1704"/>
      <c r="AK8" s="2319"/>
      <c r="AM8" s="428"/>
      <c r="AN8" s="428" t="str">
        <f t="shared" si="0"/>
        <v/>
      </c>
      <c r="AO8" s="428"/>
      <c r="AP8" s="428"/>
    </row>
    <row r="9" spans="1:42" ht="21" hidden="1" customHeight="1">
      <c r="A9" s="1242"/>
      <c r="B9" s="1242"/>
      <c r="C9" s="1242"/>
      <c r="D9" s="1242"/>
      <c r="E9" s="2222"/>
      <c r="F9" s="2222"/>
      <c r="G9" s="2222"/>
      <c r="H9" s="2222"/>
      <c r="I9" s="2224"/>
      <c r="J9" s="2223"/>
      <c r="K9" s="1242"/>
      <c r="L9" s="1243"/>
      <c r="P9" s="2143"/>
      <c r="Q9" s="2143"/>
      <c r="R9" s="280"/>
      <c r="S9" s="1159"/>
      <c r="T9" s="205" t="s">
        <v>1683</v>
      </c>
      <c r="U9" s="294"/>
      <c r="V9" s="294"/>
      <c r="W9" s="294"/>
      <c r="X9" s="294"/>
      <c r="Y9" s="294"/>
      <c r="Z9" s="294"/>
      <c r="AA9" s="294"/>
      <c r="AB9" s="294"/>
      <c r="AC9" s="294"/>
      <c r="AD9" s="294"/>
      <c r="AE9" s="294"/>
      <c r="AF9" s="294"/>
      <c r="AG9" s="294"/>
      <c r="AH9" s="294"/>
      <c r="AI9" s="294"/>
      <c r="AJ9" s="294"/>
      <c r="AK9" s="1138" t="s">
        <v>1684</v>
      </c>
      <c r="AM9" s="428"/>
      <c r="AN9" s="428" t="str">
        <f t="shared" si="0"/>
        <v>Добавить значение признака дифференциации</v>
      </c>
      <c r="AO9" s="428"/>
      <c r="AP9" s="428"/>
    </row>
    <row r="10" spans="1:42" ht="21" hidden="1" customHeight="1">
      <c r="A10" s="1242"/>
      <c r="B10" s="1242"/>
      <c r="C10" s="1242"/>
      <c r="D10" s="1242"/>
      <c r="E10" s="2222"/>
      <c r="F10" s="2222"/>
      <c r="G10" s="2222"/>
      <c r="H10" s="2222"/>
      <c r="I10" s="2223"/>
      <c r="J10" s="1242"/>
      <c r="K10" s="1242"/>
      <c r="L10" s="1243"/>
      <c r="P10" s="2143"/>
      <c r="Q10" s="1313"/>
      <c r="R10" s="280"/>
      <c r="S10" s="1159"/>
      <c r="T10" s="291" t="s">
        <v>1478</v>
      </c>
      <c r="U10" s="294"/>
      <c r="V10" s="294"/>
      <c r="W10" s="294"/>
      <c r="X10" s="294"/>
      <c r="Y10" s="294"/>
      <c r="Z10" s="294"/>
      <c r="AA10" s="294"/>
      <c r="AB10" s="293"/>
      <c r="AC10" s="294"/>
      <c r="AD10" s="294"/>
      <c r="AE10" s="294"/>
      <c r="AF10" s="294"/>
      <c r="AG10" s="294"/>
      <c r="AH10" s="294"/>
      <c r="AI10" s="293"/>
      <c r="AJ10" s="294"/>
      <c r="AK10" s="1305"/>
      <c r="AM10" s="428"/>
      <c r="AN10" s="428" t="str">
        <f t="shared" si="0"/>
        <v>Добавить группу потребителей</v>
      </c>
      <c r="AO10" s="428"/>
      <c r="AP10" s="428"/>
    </row>
    <row r="11" spans="1:42" ht="21" hidden="1" customHeight="1">
      <c r="A11" s="1242"/>
      <c r="B11" s="1242"/>
      <c r="C11" s="1242"/>
      <c r="D11" s="1242"/>
      <c r="E11" s="2222"/>
      <c r="F11" s="2222"/>
      <c r="G11" s="2222"/>
      <c r="H11" s="2221"/>
      <c r="I11" s="1242"/>
      <c r="J11" s="1242"/>
      <c r="K11" s="1242"/>
      <c r="L11" s="1243"/>
      <c r="M11" s="1244"/>
      <c r="N11" s="1244"/>
      <c r="O11" s="464"/>
      <c r="P11" s="284"/>
      <c r="Q11" s="303"/>
      <c r="R11" s="279"/>
      <c r="S11" s="1159"/>
      <c r="T11" s="299" t="s">
        <v>1685</v>
      </c>
      <c r="U11" s="294"/>
      <c r="V11" s="294"/>
      <c r="W11" s="294"/>
      <c r="X11" s="294"/>
      <c r="Y11" s="294"/>
      <c r="Z11" s="294"/>
      <c r="AA11" s="294"/>
      <c r="AB11" s="293"/>
      <c r="AC11" s="294"/>
      <c r="AD11" s="294"/>
      <c r="AE11" s="294"/>
      <c r="AF11" s="294"/>
      <c r="AG11" s="294"/>
      <c r="AH11" s="294"/>
      <c r="AI11" s="293"/>
      <c r="AJ11" s="294"/>
      <c r="AK11" s="221"/>
      <c r="AM11" s="428"/>
      <c r="AN11" s="428" t="str">
        <f t="shared" si="0"/>
        <v>Добавить наименование признака дифференциации</v>
      </c>
      <c r="AO11" s="428"/>
      <c r="AP11" s="428"/>
    </row>
    <row r="12" spans="1:42" s="1755" customFormat="1" ht="0.75" hidden="1" customHeight="1">
      <c r="A12" s="1226"/>
      <c r="B12" s="1226"/>
      <c r="C12" s="1198"/>
      <c r="D12" s="1198"/>
      <c r="E12" s="2222"/>
      <c r="F12" s="2221"/>
      <c r="G12" s="1198"/>
      <c r="H12" s="1198"/>
      <c r="I12" s="1198"/>
      <c r="J12" s="1198"/>
      <c r="K12" s="1198"/>
      <c r="L12" s="1321"/>
      <c r="M12" s="1205"/>
      <c r="N12" s="1205"/>
      <c r="P12" s="1200"/>
      <c r="Q12" s="1201"/>
      <c r="R12" s="1200"/>
      <c r="S12" s="1206"/>
      <c r="T12" s="1209" t="s">
        <v>1439</v>
      </c>
      <c r="U12" s="1208"/>
      <c r="V12" s="1208"/>
      <c r="W12" s="1208"/>
      <c r="X12" s="1208"/>
      <c r="Y12" s="1208"/>
      <c r="Z12" s="1208"/>
      <c r="AA12" s="1208"/>
      <c r="AB12" s="1208"/>
      <c r="AC12" s="1208"/>
      <c r="AD12" s="1208"/>
      <c r="AE12" s="1208"/>
      <c r="AF12" s="1208"/>
      <c r="AG12" s="1208"/>
      <c r="AH12" s="1208"/>
      <c r="AI12" s="1208"/>
      <c r="AJ12" s="1208"/>
      <c r="AK12" s="1208"/>
      <c r="AM12" s="695"/>
      <c r="AN12" s="695" t="str">
        <f t="shared" si="0"/>
        <v>Добавить централизованную систему для дифференциации</v>
      </c>
      <c r="AO12" s="695"/>
      <c r="AP12" s="695"/>
    </row>
    <row r="13" spans="1:42" s="1755" customFormat="1" ht="0.75" hidden="1" customHeight="1">
      <c r="A13" s="1226"/>
      <c r="B13" s="1226"/>
      <c r="C13" s="1226"/>
      <c r="D13" s="1226"/>
      <c r="E13" s="2221"/>
      <c r="F13" s="1226"/>
      <c r="G13" s="1226"/>
      <c r="H13" s="1226"/>
      <c r="I13" s="1226"/>
      <c r="J13" s="1226"/>
      <c r="K13" s="1226"/>
      <c r="L13" s="1229"/>
      <c r="M13" s="1205"/>
      <c r="N13" s="1205"/>
      <c r="O13" s="446"/>
      <c r="P13" s="311"/>
      <c r="Q13" s="1227"/>
      <c r="R13" s="311"/>
      <c r="S13" s="1206"/>
      <c r="T13" s="1209" t="s">
        <v>1440</v>
      </c>
      <c r="U13" s="1208"/>
      <c r="V13" s="1208"/>
      <c r="W13" s="1208"/>
      <c r="X13" s="1208"/>
      <c r="Y13" s="1208"/>
      <c r="Z13" s="1208"/>
      <c r="AA13" s="1208"/>
      <c r="AB13" s="1208"/>
      <c r="AC13" s="1208"/>
      <c r="AD13" s="1208"/>
      <c r="AE13" s="1208"/>
      <c r="AF13" s="1208"/>
      <c r="AG13" s="1208"/>
      <c r="AH13" s="1208"/>
      <c r="AI13" s="1208"/>
      <c r="AJ13" s="1208"/>
      <c r="AK13" s="1208"/>
      <c r="AM13" s="428"/>
      <c r="AN13" s="428" t="str">
        <f t="shared" si="0"/>
        <v>Добавить территорию для дифференциации</v>
      </c>
      <c r="AO13" s="428"/>
      <c r="AP13" s="428"/>
    </row>
    <row r="14" spans="1:42" ht="14.25" hidden="1" customHeight="1">
      <c r="AB14" s="254"/>
      <c r="AI14" s="254"/>
    </row>
    <row r="15" spans="1:42" ht="14.25" hidden="1" customHeight="1">
      <c r="AC15" s="1668"/>
      <c r="AD15" s="1668"/>
      <c r="AE15" s="1669"/>
      <c r="AF15" s="2219"/>
      <c r="AG15" s="2218" t="s">
        <v>62</v>
      </c>
      <c r="AH15" s="2219"/>
      <c r="AI15" s="2218" t="s">
        <v>62</v>
      </c>
    </row>
    <row r="16" spans="1:42" ht="14.25" hidden="1" customHeight="1">
      <c r="AC16" s="1668"/>
      <c r="AD16" s="1668"/>
      <c r="AE16" s="1667" t="str">
        <f>AF15&amp;"-"&amp;AH15</f>
        <v>-</v>
      </c>
      <c r="AF16" s="2218"/>
      <c r="AG16" s="2218"/>
      <c r="AH16" s="2218"/>
      <c r="AI16" s="2218"/>
    </row>
    <row r="17" spans="1:42" ht="14.25" hidden="1" customHeight="1">
      <c r="AI17" s="254"/>
    </row>
    <row r="18" spans="1:42" s="1742" customFormat="1" ht="22.5" hidden="1" customHeight="1">
      <c r="L18" s="1310"/>
      <c r="M18" s="1241"/>
      <c r="N18" s="1241"/>
      <c r="O18" s="1246" t="s">
        <v>1480</v>
      </c>
      <c r="P18" s="1241"/>
      <c r="Q18" s="1250"/>
      <c r="R18" s="1250"/>
      <c r="S18" s="643"/>
      <c r="Y18" s="1246"/>
      <c r="AA18" s="1246"/>
      <c r="AB18" s="1245"/>
      <c r="AF18" s="1246"/>
      <c r="AH18" s="1246"/>
      <c r="AI18" s="1245"/>
      <c r="AL18" s="439"/>
      <c r="AM18" s="439"/>
      <c r="AN18" s="439"/>
      <c r="AO18" s="439"/>
      <c r="AP18" s="439"/>
    </row>
    <row r="19" spans="1:42" s="1742" customFormat="1" ht="14.25" hidden="1" customHeight="1">
      <c r="L19" s="1310"/>
      <c r="M19" s="1241"/>
      <c r="N19" s="1241"/>
      <c r="O19" s="1241"/>
      <c r="P19" s="1241"/>
      <c r="Q19" s="1250"/>
      <c r="R19" s="1250"/>
      <c r="S19" s="643"/>
      <c r="AB19" s="1245"/>
      <c r="AI19" s="1245"/>
      <c r="AL19" s="439"/>
      <c r="AM19" s="439"/>
      <c r="AN19" s="439"/>
      <c r="AO19" s="439"/>
      <c r="AP19" s="439"/>
    </row>
    <row r="20" spans="1:42" s="1742" customFormat="1" ht="12" hidden="1" customHeight="1">
      <c r="L20" s="1310"/>
      <c r="M20" s="1241"/>
      <c r="N20" s="1241"/>
      <c r="O20" s="1243" t="s">
        <v>1481</v>
      </c>
      <c r="P20" s="1241"/>
      <c r="Q20" s="1306"/>
      <c r="R20" s="1306"/>
      <c r="S20" s="643"/>
      <c r="T20" s="1034" t="s">
        <v>1482</v>
      </c>
      <c r="Z20" s="111" t="s">
        <v>1483</v>
      </c>
      <c r="AB20" s="111" t="s">
        <v>1484</v>
      </c>
      <c r="AC20" s="1034" t="s">
        <v>1482</v>
      </c>
      <c r="AG20" s="111" t="s">
        <v>1485</v>
      </c>
      <c r="AI20" s="111" t="s">
        <v>1484</v>
      </c>
    </row>
    <row r="21" spans="1:42" ht="14.25" hidden="1" customHeight="1">
      <c r="O21" s="1243"/>
    </row>
    <row r="22" spans="1:42" ht="14.25" hidden="1" customHeight="1">
      <c r="O22" s="1243"/>
    </row>
    <row r="23" spans="1:42" ht="14.25" customHeight="1">
      <c r="Q23" s="304"/>
      <c r="R23" s="304"/>
      <c r="S23" s="1156"/>
      <c r="T23" s="289"/>
      <c r="U23" s="289"/>
      <c r="V23" s="437"/>
      <c r="W23" s="437"/>
      <c r="X23" s="437"/>
      <c r="Y23" s="437"/>
      <c r="Z23" s="437"/>
      <c r="AA23" s="437"/>
      <c r="AB23" s="437"/>
      <c r="AC23" s="437"/>
      <c r="AD23" s="437"/>
      <c r="AE23" s="437"/>
      <c r="AF23" s="437"/>
      <c r="AG23" s="437"/>
      <c r="AH23" s="437"/>
      <c r="AI23" s="437"/>
    </row>
    <row r="24" spans="1:42" ht="32.25" customHeight="1">
      <c r="Q24" s="304"/>
      <c r="R24" s="304"/>
      <c r="S24" s="2065" t="str">
        <f>IF(TEMPLATE_GROUP="P",PT_P_FORM_COLDVSNA_4_NAME_FORM,PT_R_FORM_COLDVSNA_16_NAME_FORM)</f>
        <v>Форма 15. Информация о предложении расчетной величины тарифов организации холодного водоснабжения об установлении тарифов в сфере холодного водоснабжения на очередной период регулирования &lt;1&gt;</v>
      </c>
      <c r="T24" s="2065"/>
      <c r="U24" s="2065"/>
      <c r="V24" s="2065"/>
      <c r="W24" s="2065"/>
      <c r="X24" s="2065"/>
      <c r="Y24" s="2065"/>
      <c r="Z24" s="2065"/>
      <c r="AA24" s="2065"/>
      <c r="AB24" s="2065"/>
      <c r="AC24" s="2065"/>
      <c r="AD24" s="2065"/>
      <c r="AE24" s="2065"/>
      <c r="AF24" s="2065"/>
      <c r="AG24" s="2065"/>
      <c r="AH24" s="2065"/>
      <c r="AI24" s="1114"/>
    </row>
    <row r="25" spans="1:42" ht="14.25" customHeight="1">
      <c r="Q25" s="304"/>
      <c r="R25" s="304"/>
      <c r="S25" s="2088" t="str">
        <f>IF(org=0,"Не определено",org)</f>
        <v>МУП г. Астрахани "Коммунэнерго"</v>
      </c>
      <c r="T25" s="2088"/>
      <c r="U25" s="2088"/>
      <c r="V25" s="2088"/>
      <c r="W25" s="2088"/>
      <c r="X25" s="2088"/>
      <c r="Y25" s="2088"/>
      <c r="Z25" s="2088"/>
      <c r="AA25" s="2088"/>
      <c r="AB25" s="2088"/>
      <c r="AC25" s="2088"/>
      <c r="AD25" s="2088"/>
      <c r="AE25" s="2088"/>
      <c r="AF25" s="2088"/>
      <c r="AG25" s="2088"/>
      <c r="AH25" s="2088"/>
      <c r="AI25" s="1114"/>
    </row>
    <row r="26" spans="1:42" ht="14.25" hidden="1" customHeight="1">
      <c r="Q26" s="304"/>
      <c r="R26" s="304"/>
      <c r="S26" s="1156"/>
      <c r="T26" s="289"/>
      <c r="U26" s="289"/>
      <c r="V26" s="248"/>
      <c r="W26" s="248"/>
      <c r="X26" s="248"/>
      <c r="Y26" s="248"/>
      <c r="Z26" s="248"/>
      <c r="AA26" s="248"/>
      <c r="AB26" s="248"/>
      <c r="AC26" s="248"/>
      <c r="AD26" s="248"/>
      <c r="AE26" s="248"/>
      <c r="AF26" s="248"/>
      <c r="AG26" s="248"/>
      <c r="AH26" s="248"/>
      <c r="AI26" s="248"/>
      <c r="AJ26" s="437"/>
    </row>
    <row r="27" spans="1:42" s="1933" customFormat="1" ht="25.5" hidden="1" customHeight="1">
      <c r="A27" s="1247"/>
      <c r="B27" s="1247"/>
      <c r="C27" s="1247"/>
      <c r="D27" s="1247"/>
      <c r="E27" s="1247"/>
      <c r="F27" s="1247"/>
      <c r="G27" s="1247"/>
      <c r="H27" s="1247"/>
      <c r="I27" s="1247"/>
      <c r="J27" s="1247"/>
      <c r="K27" s="1247"/>
      <c r="L27" s="1248"/>
      <c r="M27" s="1247"/>
      <c r="N27" s="1247"/>
      <c r="O27" s="1247"/>
      <c r="S27" s="2213" t="s">
        <v>38</v>
      </c>
      <c r="T27" s="2213"/>
      <c r="U27" s="1251"/>
      <c r="V27" s="2214" t="str">
        <f>IF(TITLE_NAME_OR_PR_CHANGE="",IF(TITLE_NAME_OR_PR="","",TITLE_NAME_OR_PR),TITLE_NAME_OR_PR_CHANGE)</f>
        <v/>
      </c>
      <c r="W27" s="2214"/>
      <c r="X27" s="2214"/>
      <c r="Y27" s="2214"/>
      <c r="Z27" s="2214"/>
      <c r="AA27" s="2214"/>
      <c r="AB27" s="253"/>
      <c r="AC27" s="2214" t="str">
        <f>IF(TITLE_NAME_OR_PR_CHANGE="",IF(TITLE_NAME_OR_PR="","",TITLE_NAME_OR_PR),TITLE_NAME_OR_PR_CHANGE)</f>
        <v/>
      </c>
      <c r="AD27" s="2214"/>
      <c r="AE27" s="2214"/>
      <c r="AF27" s="2214"/>
      <c r="AG27" s="2214"/>
      <c r="AH27" s="2214"/>
      <c r="AI27" s="253"/>
      <c r="AJ27" s="253"/>
      <c r="AK27" s="199"/>
      <c r="AL27" s="295"/>
      <c r="AM27" s="295"/>
      <c r="AN27" s="295"/>
      <c r="AO27" s="295"/>
      <c r="AP27" s="295"/>
    </row>
    <row r="28" spans="1:42" s="1933" customFormat="1" ht="18.75" hidden="1" customHeight="1">
      <c r="A28" s="1247"/>
      <c r="B28" s="1247"/>
      <c r="C28" s="1247"/>
      <c r="D28" s="1247"/>
      <c r="E28" s="1247"/>
      <c r="F28" s="1247"/>
      <c r="G28" s="1247"/>
      <c r="H28" s="1247"/>
      <c r="I28" s="1247"/>
      <c r="J28" s="1247"/>
      <c r="K28" s="1247"/>
      <c r="L28" s="1248"/>
      <c r="M28" s="1247"/>
      <c r="N28" s="1247"/>
      <c r="O28" s="1247"/>
      <c r="S28" s="2213" t="s">
        <v>1486</v>
      </c>
      <c r="T28" s="2213"/>
      <c r="U28" s="1251"/>
      <c r="V28" s="2214" t="str">
        <f>IF(TITLE_DATE_CHANGE_PERIOD="",IF(TITLE_DATE_PR="","",TITLE_DATE_PR),TITLE_DATE_CHANGE_PERIOD)</f>
        <v/>
      </c>
      <c r="W28" s="2214"/>
      <c r="X28" s="2214"/>
      <c r="Y28" s="2214"/>
      <c r="Z28" s="2214"/>
      <c r="AA28" s="2214"/>
      <c r="AB28" s="253"/>
      <c r="AC28" s="2214" t="str">
        <f>IF(TITLE_DATE_CHANGE_PERIOD="",IF(TITLE_DATE_PR="","",TITLE_DATE_PR),TITLE_DATE_CHANGE_PERIOD)</f>
        <v/>
      </c>
      <c r="AD28" s="2214"/>
      <c r="AE28" s="2214"/>
      <c r="AF28" s="2214"/>
      <c r="AG28" s="2214"/>
      <c r="AH28" s="2214"/>
      <c r="AI28" s="253"/>
      <c r="AJ28" s="253"/>
      <c r="AK28" s="199"/>
      <c r="AL28" s="295"/>
      <c r="AM28" s="295"/>
      <c r="AN28" s="295"/>
      <c r="AO28" s="295"/>
      <c r="AP28" s="295"/>
    </row>
    <row r="29" spans="1:42" s="1933" customFormat="1" ht="18.75" hidden="1" customHeight="1">
      <c r="A29" s="1247"/>
      <c r="B29" s="1247"/>
      <c r="C29" s="1247"/>
      <c r="D29" s="1247"/>
      <c r="E29" s="1247"/>
      <c r="F29" s="1247"/>
      <c r="G29" s="1247"/>
      <c r="H29" s="1247"/>
      <c r="I29" s="1247"/>
      <c r="J29" s="1247"/>
      <c r="K29" s="1247"/>
      <c r="L29" s="1248"/>
      <c r="M29" s="1247"/>
      <c r="N29" s="1247"/>
      <c r="O29" s="1247"/>
      <c r="S29" s="2213" t="s">
        <v>1487</v>
      </c>
      <c r="T29" s="2213"/>
      <c r="U29" s="1251"/>
      <c r="V29" s="2214" t="str">
        <f>IF(TITLE_NUMBER_PR_CHANGE="",IF(TITLE_NUMBER_PR="","",TITLE_NUMBER_PR),TITLE_NUMBER_PR_CHANGE)</f>
        <v/>
      </c>
      <c r="W29" s="2214"/>
      <c r="X29" s="2214"/>
      <c r="Y29" s="2214"/>
      <c r="Z29" s="2214"/>
      <c r="AA29" s="2214"/>
      <c r="AB29" s="253"/>
      <c r="AC29" s="2214" t="str">
        <f>IF(TITLE_NUMBER_PR_CHANGE="",IF(TITLE_NUMBER_PR="","",TITLE_NUMBER_PR),TITLE_NUMBER_PR_CHANGE)</f>
        <v/>
      </c>
      <c r="AD29" s="2214"/>
      <c r="AE29" s="2214"/>
      <c r="AF29" s="2214"/>
      <c r="AG29" s="2214"/>
      <c r="AH29" s="2214"/>
      <c r="AI29" s="253"/>
      <c r="AJ29" s="253"/>
      <c r="AK29" s="199"/>
      <c r="AL29" s="295"/>
      <c r="AM29" s="295"/>
      <c r="AN29" s="295"/>
      <c r="AO29" s="295"/>
      <c r="AP29" s="295"/>
    </row>
    <row r="30" spans="1:42" s="1933" customFormat="1" ht="18.75" hidden="1" customHeight="1">
      <c r="A30" s="1247"/>
      <c r="B30" s="1247"/>
      <c r="C30" s="1247"/>
      <c r="D30" s="1247"/>
      <c r="E30" s="1247"/>
      <c r="F30" s="1247"/>
      <c r="G30" s="1247"/>
      <c r="H30" s="1247"/>
      <c r="I30" s="1247"/>
      <c r="J30" s="1247"/>
      <c r="K30" s="1247"/>
      <c r="L30" s="1248"/>
      <c r="M30" s="1247"/>
      <c r="N30" s="1247"/>
      <c r="O30" s="1247"/>
      <c r="S30" s="2213" t="s">
        <v>39</v>
      </c>
      <c r="T30" s="2213"/>
      <c r="U30" s="1251"/>
      <c r="V30" s="2214" t="str">
        <f>IF(TITLE_IST_PUB_CHANGE="",IF(TITLE_IST_PUB="","",TITLE_IST_PUB),TITLE_IST_PUB_CHANGE)</f>
        <v/>
      </c>
      <c r="W30" s="2214"/>
      <c r="X30" s="2214"/>
      <c r="Y30" s="2214"/>
      <c r="Z30" s="2214"/>
      <c r="AA30" s="2214"/>
      <c r="AB30" s="253"/>
      <c r="AC30" s="2214" t="str">
        <f>IF(TITLE_IST_PUB_CHANGE="",IF(TITLE_IST_PUB="","",TITLE_IST_PUB),TITLE_IST_PUB_CHANGE)</f>
        <v/>
      </c>
      <c r="AD30" s="2214"/>
      <c r="AE30" s="2214"/>
      <c r="AF30" s="2214"/>
      <c r="AG30" s="2214"/>
      <c r="AH30" s="2214"/>
      <c r="AI30" s="253"/>
      <c r="AJ30" s="253"/>
      <c r="AK30" s="199"/>
      <c r="AL30" s="295"/>
      <c r="AM30" s="295"/>
      <c r="AN30" s="295"/>
      <c r="AO30" s="295"/>
      <c r="AP30" s="295"/>
    </row>
    <row r="31" spans="1:42" ht="14.25" hidden="1" customHeight="1">
      <c r="Q31" s="304"/>
      <c r="R31" s="304"/>
      <c r="S31" s="1156"/>
      <c r="T31" s="289"/>
      <c r="U31" s="289"/>
      <c r="V31" s="248"/>
      <c r="W31" s="248"/>
      <c r="X31" s="248"/>
      <c r="Y31" s="248"/>
      <c r="Z31" s="248"/>
      <c r="AA31" s="248"/>
      <c r="AB31" s="248"/>
      <c r="AC31" s="248"/>
      <c r="AD31" s="248"/>
      <c r="AE31" s="248"/>
      <c r="AF31" s="248"/>
      <c r="AG31" s="248"/>
      <c r="AH31" s="248"/>
      <c r="AI31" s="248"/>
      <c r="AJ31" s="437"/>
    </row>
    <row r="32" spans="1:42" s="1933" customFormat="1" ht="18.75" hidden="1" customHeight="1">
      <c r="A32" s="1247"/>
      <c r="B32" s="1247"/>
      <c r="C32" s="1247"/>
      <c r="D32" s="1247"/>
      <c r="E32" s="1247"/>
      <c r="F32" s="1247"/>
      <c r="G32" s="1247"/>
      <c r="H32" s="1247"/>
      <c r="I32" s="1247"/>
      <c r="J32" s="1247"/>
      <c r="K32" s="1247"/>
      <c r="L32" s="1248"/>
      <c r="M32" s="1247"/>
      <c r="N32" s="1247"/>
      <c r="O32" s="1247"/>
      <c r="S32" s="2213" t="s">
        <v>1488</v>
      </c>
      <c r="T32" s="2213"/>
      <c r="U32" s="1251"/>
      <c r="V32" s="2214" t="str">
        <f>IF(TITLE_DATE_CHANGE_PERIOD="",IF(TITLE_DATE_PR="","",TITLE_DATE_PR),TITLE_DATE_CHANGE_PERIOD)</f>
        <v/>
      </c>
      <c r="W32" s="2214"/>
      <c r="X32" s="2214"/>
      <c r="Y32" s="2214"/>
      <c r="Z32" s="2214"/>
      <c r="AA32" s="2214"/>
      <c r="AB32" s="253"/>
      <c r="AC32" s="2214" t="str">
        <f>IF(TITLE_DATE_CHANGE_PERIOD="",IF(TITLE_DATE_PR="","",TITLE_DATE_PR),TITLE_DATE_CHANGE_PERIOD)</f>
        <v/>
      </c>
      <c r="AD32" s="2214"/>
      <c r="AE32" s="2214"/>
      <c r="AF32" s="2214"/>
      <c r="AG32" s="2214"/>
      <c r="AH32" s="2214"/>
      <c r="AI32" s="253"/>
      <c r="AJ32" s="253"/>
      <c r="AK32" s="199"/>
      <c r="AL32" s="295"/>
      <c r="AM32" s="295"/>
      <c r="AN32" s="295"/>
      <c r="AO32" s="295"/>
      <c r="AP32" s="295"/>
    </row>
    <row r="33" spans="1:42" s="1933" customFormat="1" ht="18.75" hidden="1" customHeight="1">
      <c r="A33" s="1247"/>
      <c r="B33" s="1247"/>
      <c r="C33" s="1247"/>
      <c r="D33" s="1247"/>
      <c r="E33" s="1247"/>
      <c r="F33" s="1247"/>
      <c r="G33" s="1247"/>
      <c r="H33" s="1247"/>
      <c r="I33" s="1247"/>
      <c r="J33" s="1247"/>
      <c r="K33" s="1247"/>
      <c r="L33" s="1248"/>
      <c r="M33" s="1247"/>
      <c r="N33" s="1247"/>
      <c r="O33" s="1247"/>
      <c r="S33" s="2213" t="s">
        <v>1489</v>
      </c>
      <c r="T33" s="2213"/>
      <c r="U33" s="1251"/>
      <c r="V33" s="2214" t="str">
        <f>IF(TITLE_NUMBER_PR_CHANGE="",IF(TITLE_NUMBER_PR="","",TITLE_NUMBER_PR),TITLE_NUMBER_PR_CHANGE)</f>
        <v/>
      </c>
      <c r="W33" s="2214"/>
      <c r="X33" s="2214"/>
      <c r="Y33" s="2214"/>
      <c r="Z33" s="2214"/>
      <c r="AA33" s="2214"/>
      <c r="AB33" s="253"/>
      <c r="AC33" s="2214" t="str">
        <f>IF(TITLE_NUMBER_PR_CHANGE="",IF(TITLE_NUMBER_PR="","",TITLE_NUMBER_PR),TITLE_NUMBER_PR_CHANGE)</f>
        <v/>
      </c>
      <c r="AD33" s="2214"/>
      <c r="AE33" s="2214"/>
      <c r="AF33" s="2214"/>
      <c r="AG33" s="2214"/>
      <c r="AH33" s="2214"/>
      <c r="AI33" s="253"/>
      <c r="AJ33" s="253"/>
      <c r="AK33" s="199"/>
      <c r="AL33" s="295"/>
      <c r="AM33" s="295"/>
      <c r="AN33" s="295"/>
      <c r="AO33" s="295"/>
      <c r="AP33" s="295"/>
    </row>
    <row r="34" spans="1:42" s="1933" customFormat="1" ht="0.75" customHeight="1">
      <c r="A34" s="1247"/>
      <c r="B34" s="1247"/>
      <c r="C34" s="1247"/>
      <c r="D34" s="1247"/>
      <c r="E34" s="1247"/>
      <c r="F34" s="1247"/>
      <c r="G34" s="1247"/>
      <c r="H34" s="1247"/>
      <c r="I34" s="1247"/>
      <c r="J34" s="1247"/>
      <c r="K34" s="1247"/>
      <c r="L34" s="1248"/>
      <c r="M34" s="1247"/>
      <c r="N34" s="1247"/>
      <c r="O34" s="1247"/>
      <c r="S34" s="250"/>
      <c r="T34" s="250"/>
      <c r="U34" s="1317"/>
      <c r="V34" s="253"/>
      <c r="W34" s="253"/>
      <c r="X34" s="253"/>
      <c r="Y34" s="253"/>
      <c r="Z34" s="253"/>
      <c r="AA34" s="253"/>
      <c r="AB34" s="197" t="s">
        <v>1490</v>
      </c>
      <c r="AC34" s="253"/>
      <c r="AD34" s="253"/>
      <c r="AE34" s="253"/>
      <c r="AF34" s="253"/>
      <c r="AG34" s="253"/>
      <c r="AH34" s="253"/>
      <c r="AI34" s="197" t="s">
        <v>1490</v>
      </c>
      <c r="AL34" s="295"/>
      <c r="AM34" s="295"/>
      <c r="AN34" s="295"/>
      <c r="AO34" s="295"/>
      <c r="AP34" s="295"/>
    </row>
    <row r="35" spans="1:42" ht="14.25" customHeight="1">
      <c r="Q35" s="304"/>
      <c r="R35" s="304"/>
      <c r="S35" s="1156"/>
      <c r="T35" s="289"/>
      <c r="U35" s="1115"/>
      <c r="V35" s="2232"/>
      <c r="W35" s="2232"/>
      <c r="X35" s="2232"/>
      <c r="Y35" s="2232"/>
      <c r="Z35" s="2232"/>
      <c r="AA35" s="2232"/>
      <c r="AB35" s="2232"/>
      <c r="AC35" s="2232"/>
      <c r="AD35" s="2232"/>
      <c r="AE35" s="2232"/>
      <c r="AF35" s="2232"/>
      <c r="AG35" s="2232"/>
      <c r="AH35" s="2232"/>
      <c r="AI35" s="2232"/>
    </row>
    <row r="36" spans="1:42" ht="14.25" customHeight="1">
      <c r="Q36" s="304"/>
      <c r="R36" s="304"/>
      <c r="S36" s="2007" t="s">
        <v>292</v>
      </c>
      <c r="T36" s="2007"/>
      <c r="U36" s="2007"/>
      <c r="V36" s="2007"/>
      <c r="W36" s="2007"/>
      <c r="X36" s="2007"/>
      <c r="Y36" s="2007"/>
      <c r="Z36" s="2007"/>
      <c r="AA36" s="2007"/>
      <c r="AB36" s="2007"/>
      <c r="AC36" s="2007"/>
      <c r="AD36" s="2007"/>
      <c r="AE36" s="2007"/>
      <c r="AF36" s="2007"/>
      <c r="AG36" s="2007"/>
      <c r="AH36" s="2007"/>
      <c r="AI36" s="2007"/>
      <c r="AJ36" s="2007"/>
      <c r="AK36" s="2007" t="s">
        <v>293</v>
      </c>
    </row>
    <row r="37" spans="1:42" ht="14.25" customHeight="1">
      <c r="Q37" s="304"/>
      <c r="R37" s="304"/>
      <c r="S37" s="2233" t="s">
        <v>87</v>
      </c>
      <c r="T37" s="2097" t="s">
        <v>1491</v>
      </c>
      <c r="U37" s="219"/>
      <c r="V37" s="2234" t="s">
        <v>1492</v>
      </c>
      <c r="W37" s="2235"/>
      <c r="X37" s="2235"/>
      <c r="Y37" s="2235"/>
      <c r="Z37" s="2235"/>
      <c r="AA37" s="2236"/>
      <c r="AB37" s="2237" t="s">
        <v>1493</v>
      </c>
      <c r="AC37" s="2234" t="s">
        <v>1492</v>
      </c>
      <c r="AD37" s="2235"/>
      <c r="AE37" s="2235"/>
      <c r="AF37" s="2235"/>
      <c r="AG37" s="2235"/>
      <c r="AH37" s="2236"/>
      <c r="AI37" s="2237" t="s">
        <v>1494</v>
      </c>
      <c r="AJ37" s="2240" t="s">
        <v>1495</v>
      </c>
      <c r="AK37" s="2007"/>
    </row>
    <row r="38" spans="1:42" ht="33.75" customHeight="1">
      <c r="Q38" s="304"/>
      <c r="R38" s="304"/>
      <c r="S38" s="2233"/>
      <c r="T38" s="2097"/>
      <c r="U38" s="924"/>
      <c r="V38" s="1315" t="s">
        <v>1686</v>
      </c>
      <c r="W38" s="1989" t="s">
        <v>1498</v>
      </c>
      <c r="X38" s="1988"/>
      <c r="Y38" s="1989" t="s">
        <v>1499</v>
      </c>
      <c r="Z38" s="1994"/>
      <c r="AA38" s="1988"/>
      <c r="AB38" s="2238"/>
      <c r="AC38" s="1315" t="s">
        <v>1686</v>
      </c>
      <c r="AD38" s="1989" t="s">
        <v>1498</v>
      </c>
      <c r="AE38" s="1988"/>
      <c r="AF38" s="1989" t="s">
        <v>1499</v>
      </c>
      <c r="AG38" s="1994"/>
      <c r="AH38" s="1988"/>
      <c r="AI38" s="2238"/>
      <c r="AJ38" s="2241"/>
      <c r="AK38" s="2007"/>
    </row>
    <row r="39" spans="1:42" ht="33.75" customHeight="1">
      <c r="A39" s="1249"/>
      <c r="B39" s="1249" t="s">
        <v>136</v>
      </c>
      <c r="C39" s="1249" t="s">
        <v>137</v>
      </c>
      <c r="D39" s="1249" t="s">
        <v>138</v>
      </c>
      <c r="E39" s="1243" t="s">
        <v>1500</v>
      </c>
      <c r="F39" s="1243" t="s">
        <v>1501</v>
      </c>
      <c r="G39" s="1243" t="s">
        <v>1502</v>
      </c>
      <c r="H39" s="1243"/>
      <c r="I39" s="1243" t="s">
        <v>1687</v>
      </c>
      <c r="J39" s="1243" t="s">
        <v>1505</v>
      </c>
      <c r="K39" s="1243" t="s">
        <v>1688</v>
      </c>
      <c r="L39" s="1243" t="s">
        <v>1481</v>
      </c>
      <c r="Q39" s="304"/>
      <c r="R39" s="304"/>
      <c r="S39" s="2233"/>
      <c r="T39" s="2097"/>
      <c r="U39" s="220"/>
      <c r="V39" s="1315" t="s">
        <v>1689</v>
      </c>
      <c r="W39" s="1090" t="s">
        <v>1690</v>
      </c>
      <c r="X39" s="1090" t="s">
        <v>1691</v>
      </c>
      <c r="Y39" s="1318" t="s">
        <v>1509</v>
      </c>
      <c r="Z39" s="2103" t="s">
        <v>1510</v>
      </c>
      <c r="AA39" s="2117"/>
      <c r="AB39" s="2239"/>
      <c r="AC39" s="1315" t="s">
        <v>1689</v>
      </c>
      <c r="AD39" s="1090" t="s">
        <v>1690</v>
      </c>
      <c r="AE39" s="1090" t="s">
        <v>1691</v>
      </c>
      <c r="AF39" s="1318" t="s">
        <v>1509</v>
      </c>
      <c r="AG39" s="2103" t="s">
        <v>1510</v>
      </c>
      <c r="AH39" s="2117"/>
      <c r="AI39" s="2239"/>
      <c r="AJ39" s="2242"/>
      <c r="AK39" s="2007"/>
    </row>
    <row r="40" spans="1:42" s="1708" customFormat="1" ht="11.25" hidden="1" customHeight="1">
      <c r="A40" s="1249"/>
      <c r="B40" s="1249"/>
      <c r="C40" s="1249"/>
      <c r="D40" s="1249"/>
      <c r="E40" s="1249"/>
      <c r="F40" s="1249"/>
      <c r="G40" s="1249"/>
      <c r="H40" s="1249"/>
      <c r="I40" s="1249"/>
      <c r="J40" s="1249"/>
      <c r="K40" s="1249"/>
      <c r="L40" s="1243"/>
      <c r="M40" s="1241"/>
      <c r="N40" s="1241"/>
      <c r="O40" s="1241"/>
      <c r="P40" s="1117"/>
      <c r="Q40" s="1118"/>
      <c r="R40" s="1133">
        <v>1</v>
      </c>
      <c r="S40" s="1158" t="s">
        <v>108</v>
      </c>
      <c r="T40" s="1134" t="s">
        <v>109</v>
      </c>
      <c r="U40" s="1116" t="str">
        <f ca="1">OFFSET(U40,0,-1)</f>
        <v>2</v>
      </c>
      <c r="V40" s="1314">
        <f ca="1">OFFSET(V40,0,-1)+1</f>
        <v>3</v>
      </c>
      <c r="W40" s="1314">
        <f ca="1">OFFSET(W40,0,-1)+1</f>
        <v>4</v>
      </c>
      <c r="X40" s="1314">
        <f ca="1">OFFSET(X40,0,-1)+1</f>
        <v>5</v>
      </c>
      <c r="Y40" s="1314">
        <f ca="1">OFFSET(Y40,0,-1)+1</f>
        <v>6</v>
      </c>
      <c r="Z40" s="2231">
        <f ca="1">OFFSET(Z40,0,-1)+1</f>
        <v>7</v>
      </c>
      <c r="AA40" s="2231"/>
      <c r="AB40" s="1314">
        <f ca="1">OFFSET(AB40,0,-2)+1</f>
        <v>8</v>
      </c>
      <c r="AC40" s="1314">
        <f ca="1">OFFSET(AC40,0,-1)+1</f>
        <v>9</v>
      </c>
      <c r="AD40" s="1314">
        <f ca="1">OFFSET(AD40,0,-1)+1</f>
        <v>10</v>
      </c>
      <c r="AE40" s="1314">
        <f ca="1">OFFSET(AE40,0,-1)+1</f>
        <v>11</v>
      </c>
      <c r="AF40" s="1314">
        <f ca="1">OFFSET(AF40,0,-1)+1</f>
        <v>12</v>
      </c>
      <c r="AG40" s="2231">
        <f ca="1">OFFSET(AG40,0,-1)+1</f>
        <v>13</v>
      </c>
      <c r="AH40" s="2231"/>
      <c r="AI40" s="1314">
        <f ca="1">OFFSET(AI40,0,-2)+1</f>
        <v>14</v>
      </c>
      <c r="AJ40" s="1116">
        <f ca="1">OFFSET(AJ40,0,-1)</f>
        <v>14</v>
      </c>
      <c r="AK40" s="1314">
        <f ca="1">OFFSET(AK40,0,-1)+1</f>
        <v>15</v>
      </c>
      <c r="AL40" s="439"/>
      <c r="AM40" s="439"/>
      <c r="AN40" s="439"/>
      <c r="AO40" s="439"/>
      <c r="AP40" s="439"/>
    </row>
    <row r="41" spans="1:42" ht="23.25" customHeight="1">
      <c r="A41" s="1242" t="s">
        <v>228</v>
      </c>
      <c r="B41" s="1242"/>
      <c r="C41" s="1242"/>
      <c r="D41" s="1242"/>
      <c r="E41" s="2221">
        <v>1</v>
      </c>
      <c r="F41" s="1242"/>
      <c r="G41" s="1242"/>
      <c r="H41" s="1242"/>
      <c r="I41" s="1242"/>
      <c r="J41" s="1242"/>
      <c r="K41" s="1242"/>
      <c r="L41" s="1243"/>
      <c r="M41" s="1244"/>
      <c r="N41" s="1244"/>
      <c r="O41" s="1244"/>
      <c r="P41" s="285"/>
      <c r="Q41" s="284"/>
      <c r="R41" s="279"/>
      <c r="S41" s="1320">
        <f>INDEX(PT_DIFFERENTIATION_NUM_NTAR,MATCH(A41,PT_DIFFERENTIATION_NTAR_ID,0))</f>
        <v>0</v>
      </c>
      <c r="T41" s="216" t="s">
        <v>124</v>
      </c>
      <c r="U41" s="218"/>
      <c r="V41" s="2215"/>
      <c r="W41" s="2216"/>
      <c r="X41" s="2216"/>
      <c r="Y41" s="2216"/>
      <c r="Z41" s="2216"/>
      <c r="AA41" s="2216"/>
      <c r="AB41" s="2217"/>
      <c r="AC41" s="2215" t="str">
        <f>INDEX(PT_DIFFERENTIATION_NTAR,MATCH(A41,PT_DIFFERENTIATION_NTAR_ID,0))</f>
        <v/>
      </c>
      <c r="AD41" s="2216"/>
      <c r="AE41" s="2216"/>
      <c r="AF41" s="2216"/>
      <c r="AG41" s="2216"/>
      <c r="AH41" s="2216"/>
      <c r="AI41" s="2216"/>
      <c r="AJ41" s="2217"/>
      <c r="AK41" s="1138"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41" s="428"/>
      <c r="AN41" s="428" t="str">
        <f t="shared" ref="AN41:AN53" si="1">IF(T41="","",T41)</f>
        <v>Наименование тарифа</v>
      </c>
      <c r="AO41" s="428"/>
      <c r="AP41" s="428"/>
    </row>
    <row r="42" spans="1:42" ht="23.25" customHeight="1">
      <c r="A42" s="1242" t="s">
        <v>228</v>
      </c>
      <c r="B42" s="1242" t="s">
        <v>229</v>
      </c>
      <c r="C42" s="1242"/>
      <c r="D42" s="1242"/>
      <c r="E42" s="2222"/>
      <c r="F42" s="2221">
        <v>1</v>
      </c>
      <c r="G42" s="1242"/>
      <c r="H42" s="1242"/>
      <c r="I42" s="1242"/>
      <c r="J42" s="1242"/>
      <c r="K42" s="1242"/>
      <c r="L42" s="1243"/>
      <c r="M42" s="1244"/>
      <c r="N42" s="1244"/>
      <c r="O42" s="1244"/>
      <c r="P42" s="1316"/>
      <c r="Q42" s="276"/>
      <c r="R42" s="277"/>
      <c r="S42" s="1320" t="str">
        <f>INDEX(PT_DIFFERENTIATION_NUM_TER,MATCH(B42,PT_DIFFERENTIATION_TER_ID,0))</f>
        <v>.</v>
      </c>
      <c r="T42" s="228" t="s">
        <v>1463</v>
      </c>
      <c r="U42" s="218"/>
      <c r="V42" s="2215"/>
      <c r="W42" s="2216"/>
      <c r="X42" s="2216"/>
      <c r="Y42" s="2216"/>
      <c r="Z42" s="2216"/>
      <c r="AA42" s="2216"/>
      <c r="AB42" s="2217"/>
      <c r="AC42" s="2215" t="str">
        <f>INDEX(PT_DIFFERENTIATION_TER,MATCH(B42,PT_DIFFERENTIATION_TER_ID,0))</f>
        <v/>
      </c>
      <c r="AD42" s="2216"/>
      <c r="AE42" s="2216"/>
      <c r="AF42" s="2216"/>
      <c r="AG42" s="2216"/>
      <c r="AH42" s="2216"/>
      <c r="AI42" s="2216"/>
      <c r="AJ42" s="2217"/>
      <c r="AK42" s="1138" t="s">
        <v>1464</v>
      </c>
      <c r="AM42" s="428"/>
      <c r="AN42" s="428" t="str">
        <f t="shared" si="1"/>
        <v>Территория действия тарифа</v>
      </c>
      <c r="AO42" s="428"/>
      <c r="AP42" s="428"/>
    </row>
    <row r="43" spans="1:42" ht="23.25" customHeight="1">
      <c r="A43" s="1242" t="s">
        <v>228</v>
      </c>
      <c r="B43" s="1242" t="s">
        <v>229</v>
      </c>
      <c r="C43" s="1242" t="s">
        <v>230</v>
      </c>
      <c r="D43" s="1242"/>
      <c r="E43" s="2222"/>
      <c r="F43" s="2222"/>
      <c r="G43" s="2221">
        <v>1</v>
      </c>
      <c r="H43" s="1242"/>
      <c r="I43" s="1242"/>
      <c r="J43" s="1242"/>
      <c r="K43" s="1242"/>
      <c r="L43" s="1243"/>
      <c r="M43" s="1244"/>
      <c r="N43" s="1244"/>
      <c r="O43" s="1244"/>
      <c r="P43" s="278"/>
      <c r="Q43" s="276"/>
      <c r="R43" s="277"/>
      <c r="S43" s="1320" t="str">
        <f>INDEX(PT_DIFFERENTIATION_NUM_CS,MATCH(C43,PT_DIFFERENTIATION_CS_ID,0))</f>
        <v>..</v>
      </c>
      <c r="T43" s="229" t="s">
        <v>1678</v>
      </c>
      <c r="U43" s="218"/>
      <c r="V43" s="2215"/>
      <c r="W43" s="2216"/>
      <c r="X43" s="2216"/>
      <c r="Y43" s="2216"/>
      <c r="Z43" s="2216"/>
      <c r="AA43" s="2216"/>
      <c r="AB43" s="2217"/>
      <c r="AC43" s="2215" t="str">
        <f>INDEX(PT_DIFFERENTIATION_CS,MATCH(C43,PT_DIFFERENTIATION_CS_ID,0))</f>
        <v/>
      </c>
      <c r="AD43" s="2216"/>
      <c r="AE43" s="2216"/>
      <c r="AF43" s="2216"/>
      <c r="AG43" s="2216"/>
      <c r="AH43" s="2216"/>
      <c r="AI43" s="2216"/>
      <c r="AJ43" s="2217"/>
      <c r="AK43" s="1138" t="s">
        <v>1679</v>
      </c>
      <c r="AM43" s="428"/>
      <c r="AN43" s="428" t="str">
        <f t="shared" si="1"/>
        <v>Наименование централизованной системы холодного водоснабжения</v>
      </c>
      <c r="AO43" s="428"/>
      <c r="AP43" s="428"/>
    </row>
    <row r="44" spans="1:42" ht="23.25" customHeight="1">
      <c r="A44" s="1242" t="s">
        <v>228</v>
      </c>
      <c r="B44" s="1242" t="s">
        <v>229</v>
      </c>
      <c r="C44" s="1242" t="s">
        <v>230</v>
      </c>
      <c r="D44" s="1242" t="s">
        <v>1696</v>
      </c>
      <c r="E44" s="2222"/>
      <c r="F44" s="2222"/>
      <c r="G44" s="2222"/>
      <c r="H44" s="2222"/>
      <c r="I44" s="2223" t="str">
        <f>S43&amp;".1"</f>
        <v>...1</v>
      </c>
      <c r="J44" s="1242"/>
      <c r="K44" s="1242"/>
      <c r="L44" s="1243"/>
      <c r="P44" s="2143">
        <v>1</v>
      </c>
      <c r="Q44" s="1313"/>
      <c r="R44" s="280"/>
      <c r="S44" s="1320" t="str">
        <f>$I44</f>
        <v>...1</v>
      </c>
      <c r="T44" s="203" t="s">
        <v>1680</v>
      </c>
      <c r="U44" s="218"/>
      <c r="V44" s="2313"/>
      <c r="W44" s="2314"/>
      <c r="X44" s="2314"/>
      <c r="Y44" s="2314"/>
      <c r="Z44" s="2314"/>
      <c r="AA44" s="2314"/>
      <c r="AB44" s="2315"/>
      <c r="AC44" s="2316"/>
      <c r="AD44" s="2317"/>
      <c r="AE44" s="2317"/>
      <c r="AF44" s="2317"/>
      <c r="AG44" s="2317"/>
      <c r="AH44" s="2317"/>
      <c r="AI44" s="2317"/>
      <c r="AJ44" s="2318"/>
      <c r="AK44" s="1138" t="s">
        <v>1681</v>
      </c>
      <c r="AM44" s="428"/>
      <c r="AN44" s="428" t="str">
        <f t="shared" si="1"/>
        <v>Наименование признака дифференциации</v>
      </c>
      <c r="AO44" s="428"/>
      <c r="AP44" s="428"/>
    </row>
    <row r="45" spans="1:42" ht="23.25" customHeight="1">
      <c r="A45" s="1242" t="s">
        <v>228</v>
      </c>
      <c r="B45" s="1242" t="s">
        <v>229</v>
      </c>
      <c r="C45" s="1242" t="s">
        <v>230</v>
      </c>
      <c r="D45" s="1242" t="s">
        <v>1696</v>
      </c>
      <c r="E45" s="2222"/>
      <c r="F45" s="2222"/>
      <c r="G45" s="2222"/>
      <c r="H45" s="2222"/>
      <c r="I45" s="2224"/>
      <c r="J45" s="2223" t="str">
        <f>I44&amp;".1"</f>
        <v>...1.1</v>
      </c>
      <c r="K45" s="1242"/>
      <c r="L45" s="1243" t="s">
        <v>1472</v>
      </c>
      <c r="P45" s="2143"/>
      <c r="Q45" s="2143">
        <v>1</v>
      </c>
      <c r="R45" s="281"/>
      <c r="S45" s="1320" t="str">
        <f>$J45</f>
        <v>...1.1</v>
      </c>
      <c r="T45" s="204" t="s">
        <v>1473</v>
      </c>
      <c r="U45" s="218"/>
      <c r="V45" s="2210"/>
      <c r="W45" s="2211"/>
      <c r="X45" s="2211"/>
      <c r="Y45" s="2211"/>
      <c r="Z45" s="2211"/>
      <c r="AA45" s="2211"/>
      <c r="AB45" s="2212"/>
      <c r="AC45" s="2210"/>
      <c r="AD45" s="2211"/>
      <c r="AE45" s="2211"/>
      <c r="AF45" s="2211"/>
      <c r="AG45" s="2211"/>
      <c r="AH45" s="2211"/>
      <c r="AI45" s="2211"/>
      <c r="AJ45" s="2212"/>
      <c r="AK45" s="1192" t="s">
        <v>1682</v>
      </c>
      <c r="AM45" s="428"/>
      <c r="AN45" s="428" t="str">
        <f t="shared" si="1"/>
        <v>Группа потребителей</v>
      </c>
      <c r="AO45" s="428"/>
      <c r="AP45" s="428"/>
    </row>
    <row r="46" spans="1:42" ht="23.25" customHeight="1">
      <c r="A46" s="1242" t="s">
        <v>228</v>
      </c>
      <c r="B46" s="1242" t="s">
        <v>229</v>
      </c>
      <c r="C46" s="1242" t="s">
        <v>230</v>
      </c>
      <c r="D46" s="1242" t="s">
        <v>1696</v>
      </c>
      <c r="E46" s="2222"/>
      <c r="F46" s="2222"/>
      <c r="G46" s="2222"/>
      <c r="H46" s="2222"/>
      <c r="I46" s="2224"/>
      <c r="J46" s="2224"/>
      <c r="K46" s="2223" t="str">
        <f>J45&amp;".1"</f>
        <v>...1.1.1</v>
      </c>
      <c r="L46" s="1243"/>
      <c r="P46" s="2143"/>
      <c r="Q46" s="2143"/>
      <c r="R46" s="281">
        <v>1</v>
      </c>
      <c r="S46" s="1320" t="str">
        <f>$K46</f>
        <v>...1.1.1</v>
      </c>
      <c r="T46" s="1304"/>
      <c r="U46" s="218"/>
      <c r="V46" s="1664"/>
      <c r="W46" s="1664"/>
      <c r="X46" s="1666"/>
      <c r="Y46" s="2225"/>
      <c r="Z46" s="2017" t="s">
        <v>62</v>
      </c>
      <c r="AA46" s="2225"/>
      <c r="AB46" s="2017" t="s">
        <v>62</v>
      </c>
      <c r="AC46" s="1664"/>
      <c r="AD46" s="1664"/>
      <c r="AE46" s="1666"/>
      <c r="AF46" s="2225"/>
      <c r="AG46" s="2017" t="s">
        <v>62</v>
      </c>
      <c r="AH46" s="2227"/>
      <c r="AI46" s="2017" t="s">
        <v>62</v>
      </c>
      <c r="AJ46" s="1703"/>
      <c r="AK46" s="2319"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46" s="439" t="e">
        <f ca="1">STRCHECKDATE(V47:AJ47)</f>
        <v>#NAME?</v>
      </c>
      <c r="AM46" s="428"/>
      <c r="AN46" s="428" t="str">
        <f t="shared" si="1"/>
        <v/>
      </c>
      <c r="AO46" s="428"/>
      <c r="AP46" s="428"/>
    </row>
    <row r="47" spans="1:42" ht="0" hidden="1" customHeight="1">
      <c r="A47" s="1242" t="s">
        <v>228</v>
      </c>
      <c r="B47" s="1242" t="s">
        <v>229</v>
      </c>
      <c r="C47" s="1242" t="s">
        <v>230</v>
      </c>
      <c r="D47" s="1242" t="s">
        <v>1696</v>
      </c>
      <c r="E47" s="2222"/>
      <c r="F47" s="2222"/>
      <c r="G47" s="2222"/>
      <c r="H47" s="2222"/>
      <c r="I47" s="2224"/>
      <c r="J47" s="2224"/>
      <c r="K47" s="2223"/>
      <c r="L47" s="1243"/>
      <c r="P47" s="2143"/>
      <c r="Q47" s="2143"/>
      <c r="R47" s="281"/>
      <c r="S47" s="1319"/>
      <c r="T47" s="218"/>
      <c r="U47" s="218"/>
      <c r="V47" s="1665"/>
      <c r="W47" s="1665"/>
      <c r="X47" s="1667" t="str">
        <f>Y46&amp;"-"&amp;AA46</f>
        <v>-</v>
      </c>
      <c r="Y47" s="2226"/>
      <c r="Z47" s="2017"/>
      <c r="AA47" s="2226"/>
      <c r="AB47" s="2017"/>
      <c r="AC47" s="1665"/>
      <c r="AD47" s="1665"/>
      <c r="AE47" s="1667" t="str">
        <f>AF46&amp;"-"&amp;AH46</f>
        <v>-</v>
      </c>
      <c r="AF47" s="2226"/>
      <c r="AG47" s="2017"/>
      <c r="AH47" s="2228"/>
      <c r="AI47" s="2017"/>
      <c r="AJ47" s="1704"/>
      <c r="AK47" s="2319"/>
      <c r="AM47" s="428"/>
      <c r="AN47" s="428" t="str">
        <f t="shared" si="1"/>
        <v/>
      </c>
      <c r="AO47" s="428"/>
      <c r="AP47" s="428"/>
    </row>
    <row r="48" spans="1:42" ht="21" customHeight="1">
      <c r="A48" s="1242" t="s">
        <v>228</v>
      </c>
      <c r="B48" s="1242" t="s">
        <v>229</v>
      </c>
      <c r="C48" s="1242" t="s">
        <v>230</v>
      </c>
      <c r="D48" s="1242" t="s">
        <v>1696</v>
      </c>
      <c r="E48" s="2222"/>
      <c r="F48" s="2222"/>
      <c r="G48" s="2222"/>
      <c r="H48" s="2222"/>
      <c r="I48" s="2224"/>
      <c r="J48" s="2223"/>
      <c r="K48" s="1242"/>
      <c r="L48" s="1243"/>
      <c r="P48" s="2143"/>
      <c r="Q48" s="2143"/>
      <c r="R48" s="280"/>
      <c r="S48" s="1159"/>
      <c r="T48" s="205" t="s">
        <v>1683</v>
      </c>
      <c r="U48" s="294"/>
      <c r="V48" s="294"/>
      <c r="W48" s="294"/>
      <c r="X48" s="294"/>
      <c r="Y48" s="294"/>
      <c r="Z48" s="294"/>
      <c r="AA48" s="294"/>
      <c r="AB48" s="294"/>
      <c r="AC48" s="294"/>
      <c r="AD48" s="294"/>
      <c r="AE48" s="294"/>
      <c r="AF48" s="294"/>
      <c r="AG48" s="294"/>
      <c r="AH48" s="294"/>
      <c r="AI48" s="294"/>
      <c r="AJ48" s="294"/>
      <c r="AK48" s="1138" t="s">
        <v>1684</v>
      </c>
      <c r="AM48" s="428"/>
      <c r="AN48" s="428" t="str">
        <f t="shared" si="1"/>
        <v>Добавить значение признака дифференциации</v>
      </c>
      <c r="AO48" s="428"/>
      <c r="AP48" s="428"/>
    </row>
    <row r="49" spans="1:42" ht="21" customHeight="1">
      <c r="A49" s="1242" t="s">
        <v>228</v>
      </c>
      <c r="B49" s="1242" t="s">
        <v>229</v>
      </c>
      <c r="C49" s="1242" t="s">
        <v>230</v>
      </c>
      <c r="D49" s="1242" t="s">
        <v>1696</v>
      </c>
      <c r="E49" s="2222"/>
      <c r="F49" s="2222"/>
      <c r="G49" s="2222"/>
      <c r="H49" s="2222"/>
      <c r="I49" s="2223"/>
      <c r="J49" s="1242"/>
      <c r="K49" s="1242"/>
      <c r="L49" s="1243"/>
      <c r="P49" s="2143"/>
      <c r="Q49" s="1313"/>
      <c r="R49" s="280"/>
      <c r="S49" s="1159"/>
      <c r="T49" s="291" t="s">
        <v>1478</v>
      </c>
      <c r="U49" s="294"/>
      <c r="V49" s="294"/>
      <c r="W49" s="294"/>
      <c r="X49" s="294"/>
      <c r="Y49" s="294"/>
      <c r="Z49" s="294"/>
      <c r="AA49" s="294"/>
      <c r="AB49" s="293"/>
      <c r="AC49" s="294"/>
      <c r="AD49" s="294"/>
      <c r="AE49" s="294"/>
      <c r="AF49" s="294"/>
      <c r="AG49" s="294"/>
      <c r="AH49" s="294"/>
      <c r="AI49" s="293"/>
      <c r="AJ49" s="294"/>
      <c r="AK49" s="1305"/>
      <c r="AM49" s="428"/>
      <c r="AN49" s="428" t="str">
        <f t="shared" si="1"/>
        <v>Добавить группу потребителей</v>
      </c>
      <c r="AO49" s="428"/>
      <c r="AP49" s="428"/>
    </row>
    <row r="50" spans="1:42" ht="21" customHeight="1">
      <c r="A50" s="1242" t="s">
        <v>228</v>
      </c>
      <c r="B50" s="1242" t="s">
        <v>229</v>
      </c>
      <c r="C50" s="1242" t="s">
        <v>230</v>
      </c>
      <c r="D50" s="1242" t="s">
        <v>1696</v>
      </c>
      <c r="E50" s="2222"/>
      <c r="F50" s="2222"/>
      <c r="G50" s="2222"/>
      <c r="H50" s="2221"/>
      <c r="I50" s="1242"/>
      <c r="J50" s="1242"/>
      <c r="K50" s="1242"/>
      <c r="L50" s="1243"/>
      <c r="M50" s="1244"/>
      <c r="N50" s="1244"/>
      <c r="O50" s="464"/>
      <c r="P50" s="284"/>
      <c r="Q50" s="303"/>
      <c r="R50" s="279"/>
      <c r="S50" s="1159"/>
      <c r="T50" s="299" t="s">
        <v>1685</v>
      </c>
      <c r="U50" s="294"/>
      <c r="V50" s="294"/>
      <c r="W50" s="294"/>
      <c r="X50" s="294"/>
      <c r="Y50" s="294"/>
      <c r="Z50" s="294"/>
      <c r="AA50" s="294"/>
      <c r="AB50" s="293"/>
      <c r="AC50" s="294"/>
      <c r="AD50" s="294"/>
      <c r="AE50" s="294"/>
      <c r="AF50" s="294"/>
      <c r="AG50" s="294"/>
      <c r="AH50" s="294"/>
      <c r="AI50" s="293"/>
      <c r="AJ50" s="294"/>
      <c r="AK50" s="221"/>
      <c r="AM50" s="428"/>
      <c r="AN50" s="428" t="str">
        <f t="shared" si="1"/>
        <v>Добавить наименование признака дифференциации</v>
      </c>
      <c r="AO50" s="428"/>
      <c r="AP50" s="428"/>
    </row>
    <row r="51" spans="1:42" s="1755" customFormat="1" ht="0.75" customHeight="1">
      <c r="A51" s="1226" t="s">
        <v>228</v>
      </c>
      <c r="B51" s="1226" t="s">
        <v>229</v>
      </c>
      <c r="C51" s="1198"/>
      <c r="D51" s="1198"/>
      <c r="E51" s="2222"/>
      <c r="F51" s="2221"/>
      <c r="G51" s="1198"/>
      <c r="H51" s="1198"/>
      <c r="I51" s="1198"/>
      <c r="J51" s="1198"/>
      <c r="K51" s="1198"/>
      <c r="L51" s="1321"/>
      <c r="M51" s="1205"/>
      <c r="N51" s="1205"/>
      <c r="P51" s="1200"/>
      <c r="Q51" s="1201"/>
      <c r="R51" s="1200"/>
      <c r="S51" s="1206"/>
      <c r="T51" s="1209" t="s">
        <v>1439</v>
      </c>
      <c r="U51" s="1208"/>
      <c r="V51" s="1208"/>
      <c r="W51" s="1208"/>
      <c r="X51" s="1208"/>
      <c r="Y51" s="1208"/>
      <c r="Z51" s="1208"/>
      <c r="AA51" s="1208"/>
      <c r="AB51" s="1208"/>
      <c r="AC51" s="1208"/>
      <c r="AD51" s="1208"/>
      <c r="AE51" s="1208"/>
      <c r="AF51" s="1208"/>
      <c r="AG51" s="1208"/>
      <c r="AH51" s="1208"/>
      <c r="AI51" s="1208"/>
      <c r="AJ51" s="1208"/>
      <c r="AK51" s="1208"/>
      <c r="AM51" s="695"/>
      <c r="AN51" s="695" t="str">
        <f t="shared" si="1"/>
        <v>Добавить централизованную систему для дифференциации</v>
      </c>
      <c r="AO51" s="695"/>
      <c r="AP51" s="695"/>
    </row>
    <row r="52" spans="1:42" s="1755" customFormat="1" ht="0.75" customHeight="1">
      <c r="A52" s="1226" t="s">
        <v>228</v>
      </c>
      <c r="B52" s="1226"/>
      <c r="C52" s="1226"/>
      <c r="D52" s="1226"/>
      <c r="E52" s="2221"/>
      <c r="F52" s="1226"/>
      <c r="G52" s="1226"/>
      <c r="H52" s="1226"/>
      <c r="I52" s="1226"/>
      <c r="J52" s="1226"/>
      <c r="K52" s="1226"/>
      <c r="L52" s="1229"/>
      <c r="M52" s="1205"/>
      <c r="N52" s="1205"/>
      <c r="O52" s="446"/>
      <c r="P52" s="311"/>
      <c r="Q52" s="1227"/>
      <c r="R52" s="311"/>
      <c r="S52" s="1206"/>
      <c r="T52" s="1209" t="s">
        <v>1440</v>
      </c>
      <c r="U52" s="1208"/>
      <c r="V52" s="1208"/>
      <c r="W52" s="1208"/>
      <c r="X52" s="1208"/>
      <c r="Y52" s="1208"/>
      <c r="Z52" s="1208"/>
      <c r="AA52" s="1208"/>
      <c r="AB52" s="1208"/>
      <c r="AC52" s="1208"/>
      <c r="AD52" s="1208"/>
      <c r="AE52" s="1208"/>
      <c r="AF52" s="1208"/>
      <c r="AG52" s="1208"/>
      <c r="AH52" s="1208"/>
      <c r="AI52" s="1208"/>
      <c r="AJ52" s="1208"/>
      <c r="AK52" s="1208"/>
      <c r="AM52" s="428"/>
      <c r="AN52" s="428" t="str">
        <f t="shared" si="1"/>
        <v>Добавить территорию для дифференциации</v>
      </c>
      <c r="AO52" s="428"/>
      <c r="AP52" s="428"/>
    </row>
    <row r="53" spans="1:42" s="1755" customFormat="1" ht="0.75" customHeight="1">
      <c r="A53" s="1198"/>
      <c r="B53" s="1198"/>
      <c r="C53" s="1198"/>
      <c r="D53" s="1198"/>
      <c r="E53" s="1226"/>
      <c r="F53" s="1198"/>
      <c r="G53" s="1198"/>
      <c r="H53" s="1198"/>
      <c r="I53" s="1198"/>
      <c r="J53" s="1198"/>
      <c r="K53" s="1198"/>
      <c r="L53" s="1321"/>
      <c r="M53" s="1205"/>
      <c r="N53" s="1205"/>
      <c r="P53" s="1200"/>
      <c r="Q53" s="1201"/>
      <c r="R53" s="1200"/>
      <c r="S53" s="1206"/>
      <c r="T53" s="1209" t="s">
        <v>1441</v>
      </c>
      <c r="U53" s="1208"/>
      <c r="V53" s="1208"/>
      <c r="W53" s="1208"/>
      <c r="X53" s="1208"/>
      <c r="Y53" s="1208"/>
      <c r="Z53" s="1208"/>
      <c r="AA53" s="1208"/>
      <c r="AB53" s="1208"/>
      <c r="AC53" s="1208"/>
      <c r="AD53" s="1208"/>
      <c r="AE53" s="1208"/>
      <c r="AF53" s="1208"/>
      <c r="AG53" s="1208"/>
      <c r="AH53" s="1208"/>
      <c r="AI53" s="1208"/>
      <c r="AJ53" s="1208"/>
      <c r="AK53" s="1208"/>
      <c r="AM53" s="695"/>
      <c r="AN53" s="695" t="str">
        <f t="shared" si="1"/>
        <v>Добавить наименование тарифа</v>
      </c>
      <c r="AO53" s="695"/>
      <c r="AP53" s="695"/>
    </row>
    <row r="54" spans="1:42" ht="11.25" hidden="1" customHeight="1">
      <c r="M54" s="1034"/>
      <c r="N54" s="1034"/>
      <c r="O54" s="464"/>
      <c r="P54" s="1029"/>
      <c r="Q54" s="1029"/>
      <c r="R54" s="1029"/>
      <c r="S54" s="1029"/>
      <c r="AL54" s="1029"/>
      <c r="AM54" s="1029"/>
      <c r="AN54" s="1029"/>
      <c r="AO54" s="1029"/>
      <c r="AP54" s="1029"/>
    </row>
    <row r="55" spans="1:42" ht="14.25" hidden="1" customHeight="1">
      <c r="O55" s="464"/>
      <c r="S55" s="1126" t="s">
        <v>1511</v>
      </c>
      <c r="T55" s="2220" t="s">
        <v>1693</v>
      </c>
      <c r="U55" s="2220"/>
      <c r="V55" s="2220"/>
      <c r="W55" s="2220"/>
      <c r="X55" s="2220"/>
      <c r="Y55" s="2220"/>
      <c r="Z55" s="2220"/>
      <c r="AA55" s="2220"/>
      <c r="AB55" s="2220"/>
      <c r="AC55" s="2220"/>
      <c r="AD55" s="2220"/>
      <c r="AE55" s="2220"/>
      <c r="AF55" s="2220"/>
      <c r="AG55" s="2220"/>
      <c r="AH55" s="2220"/>
      <c r="AI55" s="2220"/>
      <c r="AJ55" s="2220"/>
      <c r="AK55" s="2220"/>
    </row>
    <row r="56" spans="1:42" ht="14.25" hidden="1" customHeight="1">
      <c r="O56" s="464"/>
    </row>
    <row r="57" spans="1:42" ht="14.25" hidden="1" customHeight="1">
      <c r="O57" s="464"/>
      <c r="S57" s="1126" t="s">
        <v>1511</v>
      </c>
      <c r="T57" s="2220" t="s">
        <v>1694</v>
      </c>
      <c r="U57" s="2220"/>
      <c r="V57" s="2220"/>
      <c r="W57" s="2220"/>
      <c r="X57" s="2220"/>
      <c r="Y57" s="2220"/>
      <c r="Z57" s="2220"/>
      <c r="AA57" s="2220"/>
      <c r="AB57" s="2220"/>
      <c r="AC57" s="2220"/>
      <c r="AD57" s="2220"/>
      <c r="AE57" s="2220"/>
      <c r="AF57" s="2220"/>
      <c r="AG57" s="2220"/>
      <c r="AH57" s="2220"/>
      <c r="AI57" s="2220"/>
      <c r="AJ57" s="2220"/>
      <c r="AK57" s="2220"/>
    </row>
  </sheetData>
  <sheetProtection formatColumns="0" formatRows="0" insertRows="0" deleteColumns="0" deleteRows="0" sort="0" autoFilter="0"/>
  <mergeCells count="101">
    <mergeCell ref="E2:E13"/>
    <mergeCell ref="V2:AB2"/>
    <mergeCell ref="AC2:AJ2"/>
    <mergeCell ref="F3:F12"/>
    <mergeCell ref="V3:AB3"/>
    <mergeCell ref="AC3:AJ3"/>
    <mergeCell ref="G4:G11"/>
    <mergeCell ref="V4:AB4"/>
    <mergeCell ref="AC4:AJ4"/>
    <mergeCell ref="H5:H11"/>
    <mergeCell ref="I5:I10"/>
    <mergeCell ref="P5:P10"/>
    <mergeCell ref="V5:AB5"/>
    <mergeCell ref="AC5:AJ5"/>
    <mergeCell ref="J6:J9"/>
    <mergeCell ref="Q6:Q9"/>
    <mergeCell ref="V6:AB6"/>
    <mergeCell ref="AC6:AJ6"/>
    <mergeCell ref="K7:K8"/>
    <mergeCell ref="Y7:Y8"/>
    <mergeCell ref="AI7:AI8"/>
    <mergeCell ref="AK7:AK8"/>
    <mergeCell ref="AF15:AF16"/>
    <mergeCell ref="AG15:AG16"/>
    <mergeCell ref="AH15:AH16"/>
    <mergeCell ref="AI15:AI16"/>
    <mergeCell ref="Z7:Z8"/>
    <mergeCell ref="AA7:AA8"/>
    <mergeCell ref="AB7:AB8"/>
    <mergeCell ref="AF7:AF8"/>
    <mergeCell ref="AG7:AG8"/>
    <mergeCell ref="AH7:AH8"/>
    <mergeCell ref="S29:T29"/>
    <mergeCell ref="V29:AA29"/>
    <mergeCell ref="AC29:AH29"/>
    <mergeCell ref="S30:T30"/>
    <mergeCell ref="V30:AA30"/>
    <mergeCell ref="AC30:AH30"/>
    <mergeCell ref="S24:AH24"/>
    <mergeCell ref="S25:AH25"/>
    <mergeCell ref="S27:T27"/>
    <mergeCell ref="V27:AA27"/>
    <mergeCell ref="AC27:AH27"/>
    <mergeCell ref="S28:T28"/>
    <mergeCell ref="V28:AA28"/>
    <mergeCell ref="AC28:AH28"/>
    <mergeCell ref="AK36:AK39"/>
    <mergeCell ref="S37:S39"/>
    <mergeCell ref="T37:T39"/>
    <mergeCell ref="V37:AA37"/>
    <mergeCell ref="AB37:AB39"/>
    <mergeCell ref="AC37:AH37"/>
    <mergeCell ref="AI37:AI39"/>
    <mergeCell ref="S32:T32"/>
    <mergeCell ref="V32:AA32"/>
    <mergeCell ref="AC32:AH32"/>
    <mergeCell ref="S33:T33"/>
    <mergeCell ref="V33:AA33"/>
    <mergeCell ref="AC33:AH33"/>
    <mergeCell ref="AJ37:AJ39"/>
    <mergeCell ref="W38:X38"/>
    <mergeCell ref="Y38:AA38"/>
    <mergeCell ref="AD38:AE38"/>
    <mergeCell ref="AF38:AH38"/>
    <mergeCell ref="Z39:AA39"/>
    <mergeCell ref="AG39:AH39"/>
    <mergeCell ref="V35:AB35"/>
    <mergeCell ref="AC35:AI35"/>
    <mergeCell ref="S36:AJ36"/>
    <mergeCell ref="Z40:AA40"/>
    <mergeCell ref="AG40:AH40"/>
    <mergeCell ref="E41:E52"/>
    <mergeCell ref="V41:AB41"/>
    <mergeCell ref="AC41:AJ41"/>
    <mergeCell ref="F42:F51"/>
    <mergeCell ref="V42:AB42"/>
    <mergeCell ref="AC42:AJ42"/>
    <mergeCell ref="G43:G50"/>
    <mergeCell ref="V43:AB43"/>
    <mergeCell ref="AC43:AJ43"/>
    <mergeCell ref="H44:H50"/>
    <mergeCell ref="I44:I49"/>
    <mergeCell ref="P44:P49"/>
    <mergeCell ref="V44:AB44"/>
    <mergeCell ref="AC44:AJ44"/>
    <mergeCell ref="J45:J48"/>
    <mergeCell ref="Q45:Q48"/>
    <mergeCell ref="V45:AB45"/>
    <mergeCell ref="AC45:AJ45"/>
    <mergeCell ref="AG46:AG47"/>
    <mergeCell ref="AH46:AH47"/>
    <mergeCell ref="AI46:AI47"/>
    <mergeCell ref="AK46:AK47"/>
    <mergeCell ref="T55:AK55"/>
    <mergeCell ref="T57:AK57"/>
    <mergeCell ref="K46:K47"/>
    <mergeCell ref="Y46:Y47"/>
    <mergeCell ref="Z46:Z47"/>
    <mergeCell ref="AA46:AA47"/>
    <mergeCell ref="AB46:AB47"/>
    <mergeCell ref="AF46:AF47"/>
  </mergeCells>
  <dataValidations count="8">
    <dataValidation allowBlank="1" promptTitle="checkPeriodRange" sqref="X65579 X131115 X196651 X262187 X327723 X393259 X458795 X524331 X589867 X655403 X720939 X786475 X852011 X917547 X983083 AE16 AE65579 AE131115 AE196651 AE262187 AE327723 AE393259 AE458795 AE524331 AE589867 AE655403 AE720939 AE786475 AE852011 AE917547 AE983083 X47 AE8 X8 AE47"/>
    <dataValidation type="list" allowBlank="1" showInputMessage="1" showErrorMessage="1" errorTitle="Ошибка" error="Выберите значение из списка" sqref="V983080 V65576 V131112 V196648 V262184 V327720 V393256 V458792 V524328 V589864 V655400 V720936 V786472 V852008 V917544 AC983080 AC65576 AC131112 AC196648 AC262184 AC327720 AC393256 AC458792 AC524328 AC589864 AC655400 AC720936 AC786472 AC852008 AC917544">
      <formula1>kind_of_scheme_in</formula1>
    </dataValidation>
    <dataValidation type="textLength" operator="lessThanOrEqual" allowBlank="1" showInputMessage="1" showErrorMessage="1" errorTitle="Ошибка" error="Допускается ввод не более 900 символов!" sqref="AK65572:AK65579 AK131108:AK131115 AK196644:AK196651 AK262180:AK262187 AK327716:AK327723 AK393252:AK393259 AK458788:AK458795 AK524324:AK524331 AK589860:AK589867 AK655396:AK655403 AK720932:AK720939 AK786468:AK786475 AK852004:AK852011 AK917540:AK917547 AK983076:AK983083 T46 T7 AC44:AJ44 AC5:AJ5">
      <formula1>900</formula1>
    </dataValidation>
    <dataValidation type="list" allowBlank="1" showInputMessage="1" showErrorMessage="1" errorTitle="Ошибка" error="Выберите значение из списка" sqref="T65578 T131114 T196650 T262186 T327722 T393258 T458794 T524330 T589866 T655402 T720938 T786474 T852010 T917546 T983082">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Y65578 Y131114 Y196650 Y262186 Y327722 Y393258 Y458794 Y524330 Y589866 Y655402 Y720938 Y786474 Y852010 Y917546 Y983082 AA65578 AA131114 AA196650 AA262186 AA327722 AA393258 AA458794 AA524330 AA589866 AA655402 AA720938 AA786474 AA852010 AA917546 AA983082 AF15 AF65578 AF131114 AF196650 AF262186 AF327722 AF393258 AF458794 AF524330 AF589866 AF655402 AF720938 AF786474 AF852010 AF917546 AF983082 AH65578 AH131114 AH196650 AH262186 AH327722 AH393258 AH458794 AH524330 AH589866 AH655402 AH720938 AH786474 AH852010 AH917546 AH983082 AH46 AF46 AH15 Y46 AA46 AH7 AF7 Y7 AA7"/>
    <dataValidation allowBlank="1" showInputMessage="1" showErrorMessage="1" prompt="Для выбора выполните двойной щелчок левой клавиши мыши по соответствующей ячейке." sqref="Z65578 Z131114 Z196650 Z262186 Z327722 Z393258 Z458794 Z524330 Z589866 Z655402 Z720938 Z786474 Z852010 Z917546 Z983082 AB131114 AB458794 AB196650 AB262186 AB327722 AB393258 AB524330 AB589866 AB655402 AB720938 AB786474 AB852010 AB917546 AB983082 AB65578 AG65578 AG131114 AG196650 AG262186 AG327722 AG393258 AG458794 AG524330 AG589866 AG655402 AG720938 AG786474 AG852010 AG917546 AG983082 AI46 AI524330 AI196650 AI589866 AI655402 AI15 AI720938 AI786474 AI852010 AI917546 AI983082 AI65578 AI131114 AI458794 AI262186 AG46 AI7 Z46 AB46 AG15 AG7 Z7 AB7 AI327722 AI393258"/>
    <dataValidation allowBlank="1" sqref="S131116:AK131122 S196652:AK196658 S262188:AK262194 S327724:AK327730 S393260:AK393266 S458796:AK458802 S524332:AK524338 S589868:AK589874 S655404:AK655410 S720940:AK720946 S786476:AK786482 S852012:AK852018 S917548:AK917554 S983084:AK983090 S65580:AK65586"/>
    <dataValidation type="list" allowBlank="1" showInputMessage="1" errorTitle="Ошибка" error="Выберите значение из списка" prompt="Выберите значение из списка" sqref="V983081:AJ983081 V65577:AJ65577 V131113:AJ131113 V196649:AJ196649 V262185:AJ262185 V327721:AJ327721 V393257:AJ393257 V458793:AJ458793 V524329:AJ524329 V589865:AJ589865 V655401:AJ655401 V720937:AJ720937 V786473:AJ786473 V852009:AJ852009 V917545:AJ917545">
      <formula1>kind_of_cons</formula1>
    </dataValidation>
  </dataValidation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39997558519241921"/>
  </sheetPr>
  <dimension ref="A1:AP57"/>
  <sheetViews>
    <sheetView showGridLines="0" topLeftCell="P23" zoomScale="90" workbookViewId="0"/>
  </sheetViews>
  <sheetFormatPr defaultColWidth="10.5703125" defaultRowHeight="14.25" customHeight="1"/>
  <cols>
    <col min="1" max="1" width="10.5703125" style="1742" hidden="1"/>
    <col min="2" max="2" width="11" style="1742" hidden="1" customWidth="1"/>
    <col min="3" max="3" width="10.5703125" style="1742" hidden="1"/>
    <col min="4" max="4" width="11.85546875" style="1742" hidden="1" customWidth="1"/>
    <col min="5" max="5" width="10" style="1742" hidden="1" customWidth="1"/>
    <col min="6" max="6" width="8.7109375" style="1742" hidden="1" customWidth="1"/>
    <col min="7" max="7" width="7.5703125" style="1742" hidden="1" customWidth="1"/>
    <col min="8" max="8" width="11.42578125" style="1742" hidden="1" customWidth="1"/>
    <col min="9" max="9" width="14.140625" style="1742" hidden="1" customWidth="1"/>
    <col min="10" max="10" width="9.85546875" style="1742" hidden="1" customWidth="1"/>
    <col min="11" max="11" width="14.7109375" style="1742" hidden="1" customWidth="1"/>
    <col min="12" max="12" width="19.140625" style="1741" hidden="1" customWidth="1"/>
    <col min="13" max="14" width="12.28515625" style="1683" hidden="1" customWidth="1"/>
    <col min="15" max="15" width="23.42578125" style="1683" hidden="1" customWidth="1"/>
    <col min="16" max="16" width="3.7109375" style="1720" customWidth="1"/>
    <col min="17" max="18" width="3.7109375" style="1674" customWidth="1"/>
    <col min="19" max="19" width="12.7109375" style="1713" customWidth="1"/>
    <col min="20" max="20" width="35.7109375" style="1829" customWidth="1"/>
    <col min="21" max="21" width="0.140625" style="1829" customWidth="1"/>
    <col min="22" max="24" width="24.7109375" style="1829" hidden="1" customWidth="1"/>
    <col min="25" max="25" width="11.7109375" style="1829" hidden="1" customWidth="1"/>
    <col min="26" max="26" width="3.7109375" style="1829" hidden="1" customWidth="1"/>
    <col min="27" max="27" width="11.7109375" style="1829" hidden="1" customWidth="1"/>
    <col min="28" max="28" width="8.5703125" style="1829" hidden="1" customWidth="1"/>
    <col min="29" max="31" width="24.7109375" style="1829" customWidth="1"/>
    <col min="32" max="32" width="11.7109375" style="1829" customWidth="1"/>
    <col min="33" max="33" width="3.7109375" style="1829" customWidth="1"/>
    <col min="34" max="34" width="11.7109375" style="1829" customWidth="1"/>
    <col min="35" max="35" width="8.5703125" style="1829" hidden="1" customWidth="1"/>
    <col min="36" max="36" width="4.7109375" style="1829" customWidth="1"/>
    <col min="37" max="37" width="115.7109375" style="1829" customWidth="1"/>
    <col min="38" max="39" width="10.5703125" style="1755"/>
    <col min="40" max="40" width="11.140625" style="1755" customWidth="1"/>
    <col min="41" max="42" width="10.5703125" style="1755"/>
  </cols>
  <sheetData>
    <row r="1" spans="1:42" ht="14.25" hidden="1" customHeight="1">
      <c r="X1" s="254"/>
      <c r="Y1" s="254"/>
      <c r="AE1" s="254"/>
      <c r="AF1" s="254"/>
    </row>
    <row r="2" spans="1:42" ht="23.25" hidden="1" customHeight="1">
      <c r="A2" s="1242"/>
      <c r="B2" s="1242"/>
      <c r="C2" s="1242"/>
      <c r="D2" s="1242"/>
      <c r="E2" s="2221">
        <v>1</v>
      </c>
      <c r="F2" s="1242"/>
      <c r="G2" s="1242"/>
      <c r="H2" s="1242"/>
      <c r="I2" s="1242"/>
      <c r="J2" s="1242"/>
      <c r="K2" s="1242"/>
      <c r="L2" s="1243"/>
      <c r="M2" s="1244"/>
      <c r="N2" s="1244"/>
      <c r="O2" s="1244"/>
      <c r="P2" s="285"/>
      <c r="Q2" s="284"/>
      <c r="R2" s="279"/>
      <c r="S2" s="1320" t="e">
        <f>INDEX(PT_DIFFERENTIATION_NUM_NTAR,MATCH(A2,PT_DIFFERENTIATION_NTAR_ID,0))</f>
        <v>#N/A</v>
      </c>
      <c r="T2" s="216" t="s">
        <v>124</v>
      </c>
      <c r="U2" s="218"/>
      <c r="V2" s="2215"/>
      <c r="W2" s="2216"/>
      <c r="X2" s="2216"/>
      <c r="Y2" s="2216"/>
      <c r="Z2" s="2216"/>
      <c r="AA2" s="2216"/>
      <c r="AB2" s="2217"/>
      <c r="AC2" s="2215" t="e">
        <f>INDEX(PT_DIFFERENTIATION_NTAR,MATCH(A2,PT_DIFFERENTIATION_NTAR_ID,0))</f>
        <v>#N/A</v>
      </c>
      <c r="AD2" s="2216"/>
      <c r="AE2" s="2216"/>
      <c r="AF2" s="2216"/>
      <c r="AG2" s="2216"/>
      <c r="AH2" s="2216"/>
      <c r="AI2" s="2216"/>
      <c r="AJ2" s="2217"/>
      <c r="AK2" s="1138"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2" s="428"/>
      <c r="AN2" s="428" t="str">
        <f t="shared" ref="AN2:AN13" si="0">IF(T2="","",T2)</f>
        <v>Наименование тарифа</v>
      </c>
      <c r="AO2" s="428"/>
      <c r="AP2" s="428"/>
    </row>
    <row r="3" spans="1:42" ht="23.25" hidden="1" customHeight="1">
      <c r="A3" s="1242"/>
      <c r="B3" s="1242"/>
      <c r="C3" s="1242"/>
      <c r="D3" s="1242"/>
      <c r="E3" s="2222"/>
      <c r="F3" s="2221">
        <v>1</v>
      </c>
      <c r="G3" s="1242"/>
      <c r="H3" s="1242"/>
      <c r="I3" s="1242"/>
      <c r="J3" s="1242"/>
      <c r="K3" s="1242"/>
      <c r="L3" s="1243"/>
      <c r="M3" s="1244"/>
      <c r="N3" s="1244"/>
      <c r="O3" s="1244"/>
      <c r="P3" s="1316"/>
      <c r="Q3" s="276"/>
      <c r="R3" s="277"/>
      <c r="S3" s="1320" t="e">
        <f>INDEX(PT_DIFFERENTIATION_NUM_TER,MATCH(B3,PT_DIFFERENTIATION_TER_ID,0))</f>
        <v>#N/A</v>
      </c>
      <c r="T3" s="228" t="s">
        <v>1463</v>
      </c>
      <c r="U3" s="218"/>
      <c r="V3" s="2215"/>
      <c r="W3" s="2216"/>
      <c r="X3" s="2216"/>
      <c r="Y3" s="2216"/>
      <c r="Z3" s="2216"/>
      <c r="AA3" s="2216"/>
      <c r="AB3" s="2217"/>
      <c r="AC3" s="2215" t="e">
        <f>INDEX(PT_DIFFERENTIATION_TER,MATCH(B3,PT_DIFFERENTIATION_TER_ID,0))</f>
        <v>#N/A</v>
      </c>
      <c r="AD3" s="2216"/>
      <c r="AE3" s="2216"/>
      <c r="AF3" s="2216"/>
      <c r="AG3" s="2216"/>
      <c r="AH3" s="2216"/>
      <c r="AI3" s="2216"/>
      <c r="AJ3" s="2217"/>
      <c r="AK3" s="1138" t="s">
        <v>1464</v>
      </c>
      <c r="AM3" s="428"/>
      <c r="AN3" s="428" t="str">
        <f t="shared" si="0"/>
        <v>Территория действия тарифа</v>
      </c>
      <c r="AO3" s="428"/>
      <c r="AP3" s="428"/>
    </row>
    <row r="4" spans="1:42" ht="23.25" hidden="1" customHeight="1">
      <c r="A4" s="1242"/>
      <c r="B4" s="1242"/>
      <c r="C4" s="1242"/>
      <c r="D4" s="1242"/>
      <c r="E4" s="2222"/>
      <c r="F4" s="2222"/>
      <c r="G4" s="2221">
        <v>1</v>
      </c>
      <c r="H4" s="1242"/>
      <c r="I4" s="1242"/>
      <c r="J4" s="1242"/>
      <c r="K4" s="1242"/>
      <c r="L4" s="1243"/>
      <c r="M4" s="1244"/>
      <c r="N4" s="1244"/>
      <c r="O4" s="1244"/>
      <c r="P4" s="278"/>
      <c r="Q4" s="276"/>
      <c r="R4" s="277"/>
      <c r="S4" s="1320" t="e">
        <f>INDEX(PT_DIFFERENTIATION_NUM_CS,MATCH(C4,PT_DIFFERENTIATION_CS_ID,0))</f>
        <v>#N/A</v>
      </c>
      <c r="T4" s="229" t="s">
        <v>1678</v>
      </c>
      <c r="U4" s="218"/>
      <c r="V4" s="2215"/>
      <c r="W4" s="2216"/>
      <c r="X4" s="2216"/>
      <c r="Y4" s="2216"/>
      <c r="Z4" s="2216"/>
      <c r="AA4" s="2216"/>
      <c r="AB4" s="2217"/>
      <c r="AC4" s="2215" t="e">
        <f>INDEX(PT_DIFFERENTIATION_CS,MATCH(C4,PT_DIFFERENTIATION_CS_ID,0))</f>
        <v>#N/A</v>
      </c>
      <c r="AD4" s="2216"/>
      <c r="AE4" s="2216"/>
      <c r="AF4" s="2216"/>
      <c r="AG4" s="2216"/>
      <c r="AH4" s="2216"/>
      <c r="AI4" s="2216"/>
      <c r="AJ4" s="2217"/>
      <c r="AK4" s="1138" t="s">
        <v>1679</v>
      </c>
      <c r="AM4" s="428"/>
      <c r="AN4" s="428" t="str">
        <f t="shared" si="0"/>
        <v>Наименование централизованной системы холодного водоснабжения</v>
      </c>
      <c r="AO4" s="428"/>
      <c r="AP4" s="428"/>
    </row>
    <row r="5" spans="1:42" ht="23.25" hidden="1" customHeight="1">
      <c r="A5" s="1242"/>
      <c r="B5" s="1242"/>
      <c r="C5" s="1242"/>
      <c r="D5" s="1242"/>
      <c r="E5" s="2222"/>
      <c r="F5" s="2222"/>
      <c r="G5" s="2222"/>
      <c r="H5" s="2222"/>
      <c r="I5" s="2223" t="e">
        <f>S4&amp;".1"</f>
        <v>#N/A</v>
      </c>
      <c r="J5" s="1242"/>
      <c r="K5" s="1242"/>
      <c r="L5" s="1243"/>
      <c r="P5" s="2143">
        <v>1</v>
      </c>
      <c r="Q5" s="1313"/>
      <c r="R5" s="280"/>
      <c r="S5" s="1320" t="e">
        <f>$I5</f>
        <v>#N/A</v>
      </c>
      <c r="T5" s="203" t="s">
        <v>1680</v>
      </c>
      <c r="U5" s="218"/>
      <c r="V5" s="2313"/>
      <c r="W5" s="2314"/>
      <c r="X5" s="2314"/>
      <c r="Y5" s="2314"/>
      <c r="Z5" s="2314"/>
      <c r="AA5" s="2314"/>
      <c r="AB5" s="2315"/>
      <c r="AC5" s="2316"/>
      <c r="AD5" s="2317"/>
      <c r="AE5" s="2317"/>
      <c r="AF5" s="2317"/>
      <c r="AG5" s="2317"/>
      <c r="AH5" s="2317"/>
      <c r="AI5" s="2317"/>
      <c r="AJ5" s="2318"/>
      <c r="AK5" s="1138" t="s">
        <v>1681</v>
      </c>
      <c r="AM5" s="428"/>
      <c r="AN5" s="428" t="str">
        <f t="shared" si="0"/>
        <v>Наименование признака дифференциации</v>
      </c>
      <c r="AO5" s="428"/>
      <c r="AP5" s="428"/>
    </row>
    <row r="6" spans="1:42" ht="23.25" hidden="1" customHeight="1">
      <c r="A6" s="1242"/>
      <c r="B6" s="1242"/>
      <c r="C6" s="1242"/>
      <c r="D6" s="1242"/>
      <c r="E6" s="2222"/>
      <c r="F6" s="2222"/>
      <c r="G6" s="2222"/>
      <c r="H6" s="2222"/>
      <c r="I6" s="2224"/>
      <c r="J6" s="2223" t="e">
        <f>I5&amp;".1"</f>
        <v>#N/A</v>
      </c>
      <c r="K6" s="1242"/>
      <c r="L6" s="1243" t="s">
        <v>1472</v>
      </c>
      <c r="P6" s="2143"/>
      <c r="Q6" s="2143">
        <v>1</v>
      </c>
      <c r="R6" s="281"/>
      <c r="S6" s="1320" t="e">
        <f>$J6</f>
        <v>#N/A</v>
      </c>
      <c r="T6" s="204" t="s">
        <v>1473</v>
      </c>
      <c r="U6" s="218"/>
      <c r="V6" s="2210"/>
      <c r="W6" s="2211"/>
      <c r="X6" s="2211"/>
      <c r="Y6" s="2211"/>
      <c r="Z6" s="2211"/>
      <c r="AA6" s="2211"/>
      <c r="AB6" s="2212"/>
      <c r="AC6" s="2210"/>
      <c r="AD6" s="2211"/>
      <c r="AE6" s="2211"/>
      <c r="AF6" s="2211"/>
      <c r="AG6" s="2211"/>
      <c r="AH6" s="2211"/>
      <c r="AI6" s="2211"/>
      <c r="AJ6" s="2212"/>
      <c r="AK6" s="1192" t="s">
        <v>1682</v>
      </c>
      <c r="AM6" s="428"/>
      <c r="AN6" s="428" t="str">
        <f t="shared" si="0"/>
        <v>Группа потребителей</v>
      </c>
      <c r="AO6" s="428"/>
      <c r="AP6" s="428"/>
    </row>
    <row r="7" spans="1:42" ht="23.25" hidden="1" customHeight="1">
      <c r="A7" s="1242"/>
      <c r="B7" s="1242"/>
      <c r="C7" s="1242"/>
      <c r="D7" s="1242"/>
      <c r="E7" s="2222"/>
      <c r="F7" s="2222"/>
      <c r="G7" s="2222"/>
      <c r="H7" s="2222"/>
      <c r="I7" s="2224"/>
      <c r="J7" s="2224"/>
      <c r="K7" s="2223" t="e">
        <f>J6&amp;".1"</f>
        <v>#N/A</v>
      </c>
      <c r="L7" s="1243"/>
      <c r="P7" s="2143"/>
      <c r="Q7" s="2143"/>
      <c r="R7" s="281">
        <v>1</v>
      </c>
      <c r="S7" s="1320" t="e">
        <f>$K7</f>
        <v>#N/A</v>
      </c>
      <c r="T7" s="1304"/>
      <c r="U7" s="218"/>
      <c r="V7" s="1664"/>
      <c r="W7" s="1664"/>
      <c r="X7" s="1666"/>
      <c r="Y7" s="2225"/>
      <c r="Z7" s="2017" t="s">
        <v>62</v>
      </c>
      <c r="AA7" s="2225"/>
      <c r="AB7" s="2017" t="s">
        <v>62</v>
      </c>
      <c r="AC7" s="1664"/>
      <c r="AD7" s="1664"/>
      <c r="AE7" s="1666"/>
      <c r="AF7" s="2225"/>
      <c r="AG7" s="2017" t="s">
        <v>62</v>
      </c>
      <c r="AH7" s="2227"/>
      <c r="AI7" s="2017" t="s">
        <v>62</v>
      </c>
      <c r="AJ7" s="1703"/>
      <c r="AK7" s="2319"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7" s="439" t="e">
        <f ca="1">STRCHECKDATE(V8:AJ8)</f>
        <v>#NAME?</v>
      </c>
      <c r="AM7" s="428"/>
      <c r="AN7" s="428" t="str">
        <f t="shared" si="0"/>
        <v/>
      </c>
      <c r="AO7" s="428"/>
      <c r="AP7" s="428"/>
    </row>
    <row r="8" spans="1:42" ht="0.75" hidden="1" customHeight="1">
      <c r="A8" s="1242"/>
      <c r="B8" s="1242"/>
      <c r="C8" s="1242"/>
      <c r="D8" s="1242"/>
      <c r="E8" s="2222"/>
      <c r="F8" s="2222"/>
      <c r="G8" s="2222"/>
      <c r="H8" s="2222"/>
      <c r="I8" s="2224"/>
      <c r="J8" s="2224"/>
      <c r="K8" s="2223"/>
      <c r="L8" s="1243"/>
      <c r="P8" s="2143"/>
      <c r="Q8" s="2143"/>
      <c r="R8" s="281"/>
      <c r="S8" s="1319"/>
      <c r="T8" s="218"/>
      <c r="U8" s="218"/>
      <c r="V8" s="1665"/>
      <c r="W8" s="1665"/>
      <c r="X8" s="1667" t="str">
        <f>Y7&amp;"-"&amp;AA7</f>
        <v>-</v>
      </c>
      <c r="Y8" s="2226"/>
      <c r="Z8" s="2017"/>
      <c r="AA8" s="2226"/>
      <c r="AB8" s="2017"/>
      <c r="AC8" s="1665"/>
      <c r="AD8" s="1665"/>
      <c r="AE8" s="1667" t="str">
        <f>AF7&amp;"-"&amp;AH7</f>
        <v>-</v>
      </c>
      <c r="AF8" s="2226"/>
      <c r="AG8" s="2017"/>
      <c r="AH8" s="2228"/>
      <c r="AI8" s="2017"/>
      <c r="AJ8" s="1704"/>
      <c r="AK8" s="2319"/>
      <c r="AM8" s="428"/>
      <c r="AN8" s="428" t="str">
        <f t="shared" si="0"/>
        <v/>
      </c>
      <c r="AO8" s="428"/>
      <c r="AP8" s="428"/>
    </row>
    <row r="9" spans="1:42" ht="21" hidden="1" customHeight="1">
      <c r="A9" s="1242"/>
      <c r="B9" s="1242"/>
      <c r="C9" s="1242"/>
      <c r="D9" s="1242"/>
      <c r="E9" s="2222"/>
      <c r="F9" s="2222"/>
      <c r="G9" s="2222"/>
      <c r="H9" s="2222"/>
      <c r="I9" s="2224"/>
      <c r="J9" s="2223"/>
      <c r="K9" s="1242"/>
      <c r="L9" s="1243"/>
      <c r="P9" s="2143"/>
      <c r="Q9" s="2143"/>
      <c r="R9" s="280"/>
      <c r="S9" s="1159"/>
      <c r="T9" s="205" t="s">
        <v>1683</v>
      </c>
      <c r="U9" s="294"/>
      <c r="V9" s="294"/>
      <c r="W9" s="294"/>
      <c r="X9" s="294"/>
      <c r="Y9" s="294"/>
      <c r="Z9" s="294"/>
      <c r="AA9" s="294"/>
      <c r="AB9" s="294"/>
      <c r="AC9" s="294"/>
      <c r="AD9" s="294"/>
      <c r="AE9" s="294"/>
      <c r="AF9" s="294"/>
      <c r="AG9" s="294"/>
      <c r="AH9" s="294"/>
      <c r="AI9" s="294"/>
      <c r="AJ9" s="294"/>
      <c r="AK9" s="1138" t="s">
        <v>1684</v>
      </c>
      <c r="AM9" s="428"/>
      <c r="AN9" s="428" t="str">
        <f t="shared" si="0"/>
        <v>Добавить значение признака дифференциации</v>
      </c>
      <c r="AO9" s="428"/>
      <c r="AP9" s="428"/>
    </row>
    <row r="10" spans="1:42" ht="21" hidden="1" customHeight="1">
      <c r="A10" s="1242"/>
      <c r="B10" s="1242"/>
      <c r="C10" s="1242"/>
      <c r="D10" s="1242"/>
      <c r="E10" s="2222"/>
      <c r="F10" s="2222"/>
      <c r="G10" s="2222"/>
      <c r="H10" s="2222"/>
      <c r="I10" s="2223"/>
      <c r="J10" s="1242"/>
      <c r="K10" s="1242"/>
      <c r="L10" s="1243"/>
      <c r="P10" s="2143"/>
      <c r="Q10" s="1313"/>
      <c r="R10" s="280"/>
      <c r="S10" s="1159"/>
      <c r="T10" s="291" t="s">
        <v>1478</v>
      </c>
      <c r="U10" s="294"/>
      <c r="V10" s="294"/>
      <c r="W10" s="294"/>
      <c r="X10" s="294"/>
      <c r="Y10" s="294"/>
      <c r="Z10" s="294"/>
      <c r="AA10" s="294"/>
      <c r="AB10" s="293"/>
      <c r="AC10" s="294"/>
      <c r="AD10" s="294"/>
      <c r="AE10" s="294"/>
      <c r="AF10" s="294"/>
      <c r="AG10" s="294"/>
      <c r="AH10" s="294"/>
      <c r="AI10" s="293"/>
      <c r="AJ10" s="294"/>
      <c r="AK10" s="1305"/>
      <c r="AM10" s="428"/>
      <c r="AN10" s="428" t="str">
        <f t="shared" si="0"/>
        <v>Добавить группу потребителей</v>
      </c>
      <c r="AO10" s="428"/>
      <c r="AP10" s="428"/>
    </row>
    <row r="11" spans="1:42" ht="21" hidden="1" customHeight="1">
      <c r="A11" s="1242"/>
      <c r="B11" s="1242"/>
      <c r="C11" s="1242"/>
      <c r="D11" s="1242"/>
      <c r="E11" s="2222"/>
      <c r="F11" s="2222"/>
      <c r="G11" s="2222"/>
      <c r="H11" s="2221"/>
      <c r="I11" s="1242"/>
      <c r="J11" s="1242"/>
      <c r="K11" s="1242"/>
      <c r="L11" s="1243"/>
      <c r="M11" s="1244"/>
      <c r="N11" s="1244"/>
      <c r="O11" s="464"/>
      <c r="P11" s="284"/>
      <c r="Q11" s="303"/>
      <c r="R11" s="279"/>
      <c r="S11" s="1159"/>
      <c r="T11" s="299" t="s">
        <v>1685</v>
      </c>
      <c r="U11" s="294"/>
      <c r="V11" s="294"/>
      <c r="W11" s="294"/>
      <c r="X11" s="294"/>
      <c r="Y11" s="294"/>
      <c r="Z11" s="294"/>
      <c r="AA11" s="294"/>
      <c r="AB11" s="293"/>
      <c r="AC11" s="294"/>
      <c r="AD11" s="294"/>
      <c r="AE11" s="294"/>
      <c r="AF11" s="294"/>
      <c r="AG11" s="294"/>
      <c r="AH11" s="294"/>
      <c r="AI11" s="293"/>
      <c r="AJ11" s="294"/>
      <c r="AK11" s="221"/>
      <c r="AM11" s="428"/>
      <c r="AN11" s="428" t="str">
        <f t="shared" si="0"/>
        <v>Добавить наименование признака дифференциации</v>
      </c>
      <c r="AO11" s="428"/>
      <c r="AP11" s="428"/>
    </row>
    <row r="12" spans="1:42" s="1755" customFormat="1" ht="0.75" hidden="1" customHeight="1">
      <c r="A12" s="1226"/>
      <c r="B12" s="1226"/>
      <c r="C12" s="1198"/>
      <c r="D12" s="1198"/>
      <c r="E12" s="2222"/>
      <c r="F12" s="2221"/>
      <c r="G12" s="1198"/>
      <c r="H12" s="1198"/>
      <c r="I12" s="1198"/>
      <c r="J12" s="1198"/>
      <c r="K12" s="1198"/>
      <c r="L12" s="1321"/>
      <c r="M12" s="1205"/>
      <c r="N12" s="1205"/>
      <c r="P12" s="1200"/>
      <c r="Q12" s="1201"/>
      <c r="R12" s="1200"/>
      <c r="S12" s="1206"/>
      <c r="T12" s="1209" t="s">
        <v>1439</v>
      </c>
      <c r="U12" s="1208"/>
      <c r="V12" s="1208"/>
      <c r="W12" s="1208"/>
      <c r="X12" s="1208"/>
      <c r="Y12" s="1208"/>
      <c r="Z12" s="1208"/>
      <c r="AA12" s="1208"/>
      <c r="AB12" s="1208"/>
      <c r="AC12" s="1208"/>
      <c r="AD12" s="1208"/>
      <c r="AE12" s="1208"/>
      <c r="AF12" s="1208"/>
      <c r="AG12" s="1208"/>
      <c r="AH12" s="1208"/>
      <c r="AI12" s="1208"/>
      <c r="AJ12" s="1208"/>
      <c r="AK12" s="1208"/>
      <c r="AM12" s="695"/>
      <c r="AN12" s="695" t="str">
        <f t="shared" si="0"/>
        <v>Добавить централизованную систему для дифференциации</v>
      </c>
      <c r="AO12" s="695"/>
      <c r="AP12" s="695"/>
    </row>
    <row r="13" spans="1:42" s="1755" customFormat="1" ht="0.75" hidden="1" customHeight="1">
      <c r="A13" s="1226"/>
      <c r="B13" s="1226"/>
      <c r="C13" s="1226"/>
      <c r="D13" s="1226"/>
      <c r="E13" s="2221"/>
      <c r="F13" s="1226"/>
      <c r="G13" s="1226"/>
      <c r="H13" s="1226"/>
      <c r="I13" s="1226"/>
      <c r="J13" s="1226"/>
      <c r="K13" s="1226"/>
      <c r="L13" s="1229"/>
      <c r="M13" s="1205"/>
      <c r="N13" s="1205"/>
      <c r="O13" s="446"/>
      <c r="P13" s="311"/>
      <c r="Q13" s="1227"/>
      <c r="R13" s="311"/>
      <c r="S13" s="1206"/>
      <c r="T13" s="1209" t="s">
        <v>1440</v>
      </c>
      <c r="U13" s="1208"/>
      <c r="V13" s="1208"/>
      <c r="W13" s="1208"/>
      <c r="X13" s="1208"/>
      <c r="Y13" s="1208"/>
      <c r="Z13" s="1208"/>
      <c r="AA13" s="1208"/>
      <c r="AB13" s="1208"/>
      <c r="AC13" s="1208"/>
      <c r="AD13" s="1208"/>
      <c r="AE13" s="1208"/>
      <c r="AF13" s="1208"/>
      <c r="AG13" s="1208"/>
      <c r="AH13" s="1208"/>
      <c r="AI13" s="1208"/>
      <c r="AJ13" s="1208"/>
      <c r="AK13" s="1208"/>
      <c r="AM13" s="428"/>
      <c r="AN13" s="428" t="str">
        <f t="shared" si="0"/>
        <v>Добавить территорию для дифференциации</v>
      </c>
      <c r="AO13" s="428"/>
      <c r="AP13" s="428"/>
    </row>
    <row r="14" spans="1:42" ht="14.25" hidden="1" customHeight="1">
      <c r="AB14" s="254"/>
      <c r="AI14" s="254"/>
    </row>
    <row r="15" spans="1:42" ht="14.25" hidden="1" customHeight="1">
      <c r="AC15" s="1668"/>
      <c r="AD15" s="1668"/>
      <c r="AE15" s="1669"/>
      <c r="AF15" s="2219"/>
      <c r="AG15" s="2218" t="s">
        <v>62</v>
      </c>
      <c r="AH15" s="2219"/>
      <c r="AI15" s="2218" t="s">
        <v>62</v>
      </c>
    </row>
    <row r="16" spans="1:42" ht="14.25" hidden="1" customHeight="1">
      <c r="AC16" s="1668"/>
      <c r="AD16" s="1668"/>
      <c r="AE16" s="1667" t="str">
        <f>AF15&amp;"-"&amp;AH15</f>
        <v>-</v>
      </c>
      <c r="AF16" s="2218"/>
      <c r="AG16" s="2218"/>
      <c r="AH16" s="2218"/>
      <c r="AI16" s="2218"/>
    </row>
    <row r="17" spans="1:42" ht="14.25" hidden="1" customHeight="1">
      <c r="AI17" s="254"/>
    </row>
    <row r="18" spans="1:42" s="1742" customFormat="1" ht="22.5" hidden="1" customHeight="1">
      <c r="L18" s="1310"/>
      <c r="M18" s="1241"/>
      <c r="N18" s="1241"/>
      <c r="O18" s="1246" t="s">
        <v>1480</v>
      </c>
      <c r="P18" s="1241"/>
      <c r="Q18" s="1250"/>
      <c r="R18" s="1250"/>
      <c r="S18" s="643"/>
      <c r="Y18" s="1246"/>
      <c r="AA18" s="1246"/>
      <c r="AB18" s="1245"/>
      <c r="AF18" s="1246"/>
      <c r="AH18" s="1246"/>
      <c r="AI18" s="1245"/>
      <c r="AL18" s="439"/>
      <c r="AM18" s="439"/>
      <c r="AN18" s="439"/>
      <c r="AO18" s="439"/>
      <c r="AP18" s="439"/>
    </row>
    <row r="19" spans="1:42" s="1742" customFormat="1" ht="14.25" hidden="1" customHeight="1">
      <c r="L19" s="1310"/>
      <c r="M19" s="1241"/>
      <c r="N19" s="1241"/>
      <c r="O19" s="1241"/>
      <c r="P19" s="1241"/>
      <c r="Q19" s="1250"/>
      <c r="R19" s="1250"/>
      <c r="S19" s="643"/>
      <c r="AB19" s="1245"/>
      <c r="AI19" s="1245"/>
      <c r="AL19" s="439"/>
      <c r="AM19" s="439"/>
      <c r="AN19" s="439"/>
      <c r="AO19" s="439"/>
      <c r="AP19" s="439"/>
    </row>
    <row r="20" spans="1:42" s="1742" customFormat="1" ht="12" hidden="1" customHeight="1">
      <c r="L20" s="1310"/>
      <c r="M20" s="1241"/>
      <c r="N20" s="1241"/>
      <c r="O20" s="1243" t="s">
        <v>1481</v>
      </c>
      <c r="P20" s="1241"/>
      <c r="Q20" s="1306"/>
      <c r="R20" s="1306"/>
      <c r="S20" s="643"/>
      <c r="T20" s="1034" t="s">
        <v>1482</v>
      </c>
      <c r="Z20" s="111" t="s">
        <v>1483</v>
      </c>
      <c r="AB20" s="111" t="s">
        <v>1484</v>
      </c>
      <c r="AC20" s="1034" t="s">
        <v>1482</v>
      </c>
      <c r="AG20" s="111" t="s">
        <v>1485</v>
      </c>
      <c r="AI20" s="111" t="s">
        <v>1484</v>
      </c>
    </row>
    <row r="21" spans="1:42" ht="14.25" hidden="1" customHeight="1">
      <c r="O21" s="1243"/>
    </row>
    <row r="22" spans="1:42" ht="14.25" hidden="1" customHeight="1">
      <c r="O22" s="1243"/>
    </row>
    <row r="23" spans="1:42" ht="14.25" customHeight="1">
      <c r="Q23" s="304"/>
      <c r="R23" s="304"/>
      <c r="S23" s="1156"/>
      <c r="T23" s="289"/>
      <c r="U23" s="289"/>
      <c r="V23" s="437"/>
      <c r="W23" s="437"/>
      <c r="X23" s="437"/>
      <c r="Y23" s="437"/>
      <c r="Z23" s="437"/>
      <c r="AA23" s="437"/>
      <c r="AB23" s="437"/>
      <c r="AC23" s="437"/>
      <c r="AD23" s="437"/>
      <c r="AE23" s="437"/>
      <c r="AF23" s="437"/>
      <c r="AG23" s="437"/>
      <c r="AH23" s="437"/>
      <c r="AI23" s="437"/>
    </row>
    <row r="24" spans="1:42" ht="32.25" customHeight="1">
      <c r="Q24" s="304"/>
      <c r="R24" s="304"/>
      <c r="S24" s="2065" t="str">
        <f>IF(TEMPLATE_GROUP="P",PT_P_FORM_COLDVSNA_4_NAME_FORM,PT_R_FORM_COLDVSNA_16_NAME_FORM)</f>
        <v>Форма 15. Информация о предложении расчетной величины тарифов организации холодного водоснабжения об установлении тарифов в сфере холодного водоснабжения на очередной период регулирования &lt;1&gt;</v>
      </c>
      <c r="T24" s="2065"/>
      <c r="U24" s="2065"/>
      <c r="V24" s="2065"/>
      <c r="W24" s="2065"/>
      <c r="X24" s="2065"/>
      <c r="Y24" s="2065"/>
      <c r="Z24" s="2065"/>
      <c r="AA24" s="2065"/>
      <c r="AB24" s="2065"/>
      <c r="AC24" s="2065"/>
      <c r="AD24" s="2065"/>
      <c r="AE24" s="2065"/>
      <c r="AF24" s="2065"/>
      <c r="AG24" s="2065"/>
      <c r="AH24" s="2065"/>
      <c r="AI24" s="1114"/>
    </row>
    <row r="25" spans="1:42" ht="14.25" customHeight="1">
      <c r="Q25" s="304"/>
      <c r="R25" s="304"/>
      <c r="S25" s="2088" t="str">
        <f>IF(org=0,"Не определено",org)</f>
        <v>МУП г. Астрахани "Коммунэнерго"</v>
      </c>
      <c r="T25" s="2088"/>
      <c r="U25" s="2088"/>
      <c r="V25" s="2088"/>
      <c r="W25" s="2088"/>
      <c r="X25" s="2088"/>
      <c r="Y25" s="2088"/>
      <c r="Z25" s="2088"/>
      <c r="AA25" s="2088"/>
      <c r="AB25" s="2088"/>
      <c r="AC25" s="2088"/>
      <c r="AD25" s="2088"/>
      <c r="AE25" s="2088"/>
      <c r="AF25" s="2088"/>
      <c r="AG25" s="2088"/>
      <c r="AH25" s="2088"/>
      <c r="AI25" s="1114"/>
    </row>
    <row r="26" spans="1:42" ht="14.25" hidden="1" customHeight="1">
      <c r="Q26" s="304"/>
      <c r="R26" s="304"/>
      <c r="S26" s="1156"/>
      <c r="T26" s="289"/>
      <c r="U26" s="289"/>
      <c r="V26" s="248"/>
      <c r="W26" s="248"/>
      <c r="X26" s="248"/>
      <c r="Y26" s="248"/>
      <c r="Z26" s="248"/>
      <c r="AA26" s="248"/>
      <c r="AB26" s="248"/>
      <c r="AC26" s="248"/>
      <c r="AD26" s="248"/>
      <c r="AE26" s="248"/>
      <c r="AF26" s="248"/>
      <c r="AG26" s="248"/>
      <c r="AH26" s="248"/>
      <c r="AI26" s="248"/>
      <c r="AJ26" s="437"/>
    </row>
    <row r="27" spans="1:42" s="1933" customFormat="1" ht="25.5" hidden="1" customHeight="1">
      <c r="A27" s="1247"/>
      <c r="B27" s="1247"/>
      <c r="C27" s="1247"/>
      <c r="D27" s="1247"/>
      <c r="E27" s="1247"/>
      <c r="F27" s="1247"/>
      <c r="G27" s="1247"/>
      <c r="H27" s="1247"/>
      <c r="I27" s="1247"/>
      <c r="J27" s="1247"/>
      <c r="K27" s="1247"/>
      <c r="L27" s="1248"/>
      <c r="M27" s="1247"/>
      <c r="N27" s="1247"/>
      <c r="O27" s="1247"/>
      <c r="S27" s="2213" t="s">
        <v>38</v>
      </c>
      <c r="T27" s="2213"/>
      <c r="U27" s="1251"/>
      <c r="V27" s="2214" t="str">
        <f>IF(TITLE_NAME_OR_PR_CHANGE="",IF(TITLE_NAME_OR_PR="","",TITLE_NAME_OR_PR),TITLE_NAME_OR_PR_CHANGE)</f>
        <v/>
      </c>
      <c r="W27" s="2214"/>
      <c r="X27" s="2214"/>
      <c r="Y27" s="2214"/>
      <c r="Z27" s="2214"/>
      <c r="AA27" s="2214"/>
      <c r="AB27" s="253"/>
      <c r="AC27" s="2214" t="str">
        <f>IF(TITLE_NAME_OR_PR_CHANGE="",IF(TITLE_NAME_OR_PR="","",TITLE_NAME_OR_PR),TITLE_NAME_OR_PR_CHANGE)</f>
        <v/>
      </c>
      <c r="AD27" s="2214"/>
      <c r="AE27" s="2214"/>
      <c r="AF27" s="2214"/>
      <c r="AG27" s="2214"/>
      <c r="AH27" s="2214"/>
      <c r="AI27" s="253"/>
      <c r="AJ27" s="253"/>
      <c r="AK27" s="199"/>
      <c r="AL27" s="295"/>
      <c r="AM27" s="295"/>
      <c r="AN27" s="295"/>
      <c r="AO27" s="295"/>
      <c r="AP27" s="295"/>
    </row>
    <row r="28" spans="1:42" s="1933" customFormat="1" ht="18.75" hidden="1" customHeight="1">
      <c r="A28" s="1247"/>
      <c r="B28" s="1247"/>
      <c r="C28" s="1247"/>
      <c r="D28" s="1247"/>
      <c r="E28" s="1247"/>
      <c r="F28" s="1247"/>
      <c r="G28" s="1247"/>
      <c r="H28" s="1247"/>
      <c r="I28" s="1247"/>
      <c r="J28" s="1247"/>
      <c r="K28" s="1247"/>
      <c r="L28" s="1248"/>
      <c r="M28" s="1247"/>
      <c r="N28" s="1247"/>
      <c r="O28" s="1247"/>
      <c r="S28" s="2213" t="s">
        <v>1486</v>
      </c>
      <c r="T28" s="2213"/>
      <c r="U28" s="1251"/>
      <c r="V28" s="2214" t="str">
        <f>IF(TITLE_DATE_CHANGE_PERIOD="",IF(TITLE_DATE_PR="","",TITLE_DATE_PR),TITLE_DATE_CHANGE_PERIOD)</f>
        <v/>
      </c>
      <c r="W28" s="2214"/>
      <c r="X28" s="2214"/>
      <c r="Y28" s="2214"/>
      <c r="Z28" s="2214"/>
      <c r="AA28" s="2214"/>
      <c r="AB28" s="253"/>
      <c r="AC28" s="2214" t="str">
        <f>IF(TITLE_DATE_CHANGE_PERIOD="",IF(TITLE_DATE_PR="","",TITLE_DATE_PR),TITLE_DATE_CHANGE_PERIOD)</f>
        <v/>
      </c>
      <c r="AD28" s="2214"/>
      <c r="AE28" s="2214"/>
      <c r="AF28" s="2214"/>
      <c r="AG28" s="2214"/>
      <c r="AH28" s="2214"/>
      <c r="AI28" s="253"/>
      <c r="AJ28" s="253"/>
      <c r="AK28" s="199"/>
      <c r="AL28" s="295"/>
      <c r="AM28" s="295"/>
      <c r="AN28" s="295"/>
      <c r="AO28" s="295"/>
      <c r="AP28" s="295"/>
    </row>
    <row r="29" spans="1:42" s="1933" customFormat="1" ht="18.75" hidden="1" customHeight="1">
      <c r="A29" s="1247"/>
      <c r="B29" s="1247"/>
      <c r="C29" s="1247"/>
      <c r="D29" s="1247"/>
      <c r="E29" s="1247"/>
      <c r="F29" s="1247"/>
      <c r="G29" s="1247"/>
      <c r="H29" s="1247"/>
      <c r="I29" s="1247"/>
      <c r="J29" s="1247"/>
      <c r="K29" s="1247"/>
      <c r="L29" s="1248"/>
      <c r="M29" s="1247"/>
      <c r="N29" s="1247"/>
      <c r="O29" s="1247"/>
      <c r="S29" s="2213" t="s">
        <v>1487</v>
      </c>
      <c r="T29" s="2213"/>
      <c r="U29" s="1251"/>
      <c r="V29" s="2214" t="str">
        <f>IF(TITLE_NUMBER_PR_CHANGE="",IF(TITLE_NUMBER_PR="","",TITLE_NUMBER_PR),TITLE_NUMBER_PR_CHANGE)</f>
        <v/>
      </c>
      <c r="W29" s="2214"/>
      <c r="X29" s="2214"/>
      <c r="Y29" s="2214"/>
      <c r="Z29" s="2214"/>
      <c r="AA29" s="2214"/>
      <c r="AB29" s="253"/>
      <c r="AC29" s="2214" t="str">
        <f>IF(TITLE_NUMBER_PR_CHANGE="",IF(TITLE_NUMBER_PR="","",TITLE_NUMBER_PR),TITLE_NUMBER_PR_CHANGE)</f>
        <v/>
      </c>
      <c r="AD29" s="2214"/>
      <c r="AE29" s="2214"/>
      <c r="AF29" s="2214"/>
      <c r="AG29" s="2214"/>
      <c r="AH29" s="2214"/>
      <c r="AI29" s="253"/>
      <c r="AJ29" s="253"/>
      <c r="AK29" s="199"/>
      <c r="AL29" s="295"/>
      <c r="AM29" s="295"/>
      <c r="AN29" s="295"/>
      <c r="AO29" s="295"/>
      <c r="AP29" s="295"/>
    </row>
    <row r="30" spans="1:42" s="1933" customFormat="1" ht="18.75" hidden="1" customHeight="1">
      <c r="A30" s="1247"/>
      <c r="B30" s="1247"/>
      <c r="C30" s="1247"/>
      <c r="D30" s="1247"/>
      <c r="E30" s="1247"/>
      <c r="F30" s="1247"/>
      <c r="G30" s="1247"/>
      <c r="H30" s="1247"/>
      <c r="I30" s="1247"/>
      <c r="J30" s="1247"/>
      <c r="K30" s="1247"/>
      <c r="L30" s="1248"/>
      <c r="M30" s="1247"/>
      <c r="N30" s="1247"/>
      <c r="O30" s="1247"/>
      <c r="S30" s="2213" t="s">
        <v>39</v>
      </c>
      <c r="T30" s="2213"/>
      <c r="U30" s="1251"/>
      <c r="V30" s="2214" t="str">
        <f>IF(TITLE_IST_PUB_CHANGE="",IF(TITLE_IST_PUB="","",TITLE_IST_PUB),TITLE_IST_PUB_CHANGE)</f>
        <v/>
      </c>
      <c r="W30" s="2214"/>
      <c r="X30" s="2214"/>
      <c r="Y30" s="2214"/>
      <c r="Z30" s="2214"/>
      <c r="AA30" s="2214"/>
      <c r="AB30" s="253"/>
      <c r="AC30" s="2214" t="str">
        <f>IF(TITLE_IST_PUB_CHANGE="",IF(TITLE_IST_PUB="","",TITLE_IST_PUB),TITLE_IST_PUB_CHANGE)</f>
        <v/>
      </c>
      <c r="AD30" s="2214"/>
      <c r="AE30" s="2214"/>
      <c r="AF30" s="2214"/>
      <c r="AG30" s="2214"/>
      <c r="AH30" s="2214"/>
      <c r="AI30" s="253"/>
      <c r="AJ30" s="253"/>
      <c r="AK30" s="199"/>
      <c r="AL30" s="295"/>
      <c r="AM30" s="295"/>
      <c r="AN30" s="295"/>
      <c r="AO30" s="295"/>
      <c r="AP30" s="295"/>
    </row>
    <row r="31" spans="1:42" ht="14.25" hidden="1" customHeight="1">
      <c r="Q31" s="304"/>
      <c r="R31" s="304"/>
      <c r="S31" s="1156"/>
      <c r="T31" s="289"/>
      <c r="U31" s="289"/>
      <c r="V31" s="248"/>
      <c r="W31" s="248"/>
      <c r="X31" s="248"/>
      <c r="Y31" s="248"/>
      <c r="Z31" s="248"/>
      <c r="AA31" s="248"/>
      <c r="AB31" s="248"/>
      <c r="AC31" s="248"/>
      <c r="AD31" s="248"/>
      <c r="AE31" s="248"/>
      <c r="AF31" s="248"/>
      <c r="AG31" s="248"/>
      <c r="AH31" s="248"/>
      <c r="AI31" s="248"/>
      <c r="AJ31" s="437"/>
    </row>
    <row r="32" spans="1:42" s="1933" customFormat="1" ht="18.75" hidden="1" customHeight="1">
      <c r="A32" s="1247"/>
      <c r="B32" s="1247"/>
      <c r="C32" s="1247"/>
      <c r="D32" s="1247"/>
      <c r="E32" s="1247"/>
      <c r="F32" s="1247"/>
      <c r="G32" s="1247"/>
      <c r="H32" s="1247"/>
      <c r="I32" s="1247"/>
      <c r="J32" s="1247"/>
      <c r="K32" s="1247"/>
      <c r="L32" s="1248"/>
      <c r="M32" s="1247"/>
      <c r="N32" s="1247"/>
      <c r="O32" s="1247"/>
      <c r="S32" s="2213" t="s">
        <v>1488</v>
      </c>
      <c r="T32" s="2213"/>
      <c r="U32" s="1251"/>
      <c r="V32" s="2214" t="str">
        <f>IF(TITLE_DATE_CHANGE_PERIOD="",IF(TITLE_DATE_PR="","",TITLE_DATE_PR),TITLE_DATE_CHANGE_PERIOD)</f>
        <v/>
      </c>
      <c r="W32" s="2214"/>
      <c r="X32" s="2214"/>
      <c r="Y32" s="2214"/>
      <c r="Z32" s="2214"/>
      <c r="AA32" s="2214"/>
      <c r="AB32" s="253"/>
      <c r="AC32" s="2214" t="str">
        <f>IF(TITLE_DATE_CHANGE_PERIOD="",IF(TITLE_DATE_PR="","",TITLE_DATE_PR),TITLE_DATE_CHANGE_PERIOD)</f>
        <v/>
      </c>
      <c r="AD32" s="2214"/>
      <c r="AE32" s="2214"/>
      <c r="AF32" s="2214"/>
      <c r="AG32" s="2214"/>
      <c r="AH32" s="2214"/>
      <c r="AI32" s="253"/>
      <c r="AJ32" s="253"/>
      <c r="AK32" s="199"/>
      <c r="AL32" s="295"/>
      <c r="AM32" s="295"/>
      <c r="AN32" s="295"/>
      <c r="AO32" s="295"/>
      <c r="AP32" s="295"/>
    </row>
    <row r="33" spans="1:42" s="1933" customFormat="1" ht="18.75" hidden="1" customHeight="1">
      <c r="A33" s="1247"/>
      <c r="B33" s="1247"/>
      <c r="C33" s="1247"/>
      <c r="D33" s="1247"/>
      <c r="E33" s="1247"/>
      <c r="F33" s="1247"/>
      <c r="G33" s="1247"/>
      <c r="H33" s="1247"/>
      <c r="I33" s="1247"/>
      <c r="J33" s="1247"/>
      <c r="K33" s="1247"/>
      <c r="L33" s="1248"/>
      <c r="M33" s="1247"/>
      <c r="N33" s="1247"/>
      <c r="O33" s="1247"/>
      <c r="S33" s="2213" t="s">
        <v>1489</v>
      </c>
      <c r="T33" s="2213"/>
      <c r="U33" s="1251"/>
      <c r="V33" s="2214" t="str">
        <f>IF(TITLE_NUMBER_PR_CHANGE="",IF(TITLE_NUMBER_PR="","",TITLE_NUMBER_PR),TITLE_NUMBER_PR_CHANGE)</f>
        <v/>
      </c>
      <c r="W33" s="2214"/>
      <c r="X33" s="2214"/>
      <c r="Y33" s="2214"/>
      <c r="Z33" s="2214"/>
      <c r="AA33" s="2214"/>
      <c r="AB33" s="253"/>
      <c r="AC33" s="2214" t="str">
        <f>IF(TITLE_NUMBER_PR_CHANGE="",IF(TITLE_NUMBER_PR="","",TITLE_NUMBER_PR),TITLE_NUMBER_PR_CHANGE)</f>
        <v/>
      </c>
      <c r="AD33" s="2214"/>
      <c r="AE33" s="2214"/>
      <c r="AF33" s="2214"/>
      <c r="AG33" s="2214"/>
      <c r="AH33" s="2214"/>
      <c r="AI33" s="253"/>
      <c r="AJ33" s="253"/>
      <c r="AK33" s="199"/>
      <c r="AL33" s="295"/>
      <c r="AM33" s="295"/>
      <c r="AN33" s="295"/>
      <c r="AO33" s="295"/>
      <c r="AP33" s="295"/>
    </row>
    <row r="34" spans="1:42" s="1933" customFormat="1" ht="0.75" customHeight="1">
      <c r="A34" s="1247"/>
      <c r="B34" s="1247"/>
      <c r="C34" s="1247"/>
      <c r="D34" s="1247"/>
      <c r="E34" s="1247"/>
      <c r="F34" s="1247"/>
      <c r="G34" s="1247"/>
      <c r="H34" s="1247"/>
      <c r="I34" s="1247"/>
      <c r="J34" s="1247"/>
      <c r="K34" s="1247"/>
      <c r="L34" s="1248"/>
      <c r="M34" s="1247"/>
      <c r="N34" s="1247"/>
      <c r="O34" s="1247"/>
      <c r="S34" s="250"/>
      <c r="T34" s="250"/>
      <c r="U34" s="1317"/>
      <c r="V34" s="253"/>
      <c r="W34" s="253"/>
      <c r="X34" s="253"/>
      <c r="Y34" s="253"/>
      <c r="Z34" s="253"/>
      <c r="AA34" s="253"/>
      <c r="AB34" s="197" t="s">
        <v>1490</v>
      </c>
      <c r="AC34" s="253"/>
      <c r="AD34" s="253"/>
      <c r="AE34" s="253"/>
      <c r="AF34" s="253"/>
      <c r="AG34" s="253"/>
      <c r="AH34" s="253"/>
      <c r="AI34" s="197" t="s">
        <v>1490</v>
      </c>
      <c r="AL34" s="295"/>
      <c r="AM34" s="295"/>
      <c r="AN34" s="295"/>
      <c r="AO34" s="295"/>
      <c r="AP34" s="295"/>
    </row>
    <row r="35" spans="1:42" ht="14.25" customHeight="1">
      <c r="Q35" s="304"/>
      <c r="R35" s="304"/>
      <c r="S35" s="1156"/>
      <c r="T35" s="289"/>
      <c r="U35" s="1115"/>
      <c r="V35" s="2232"/>
      <c r="W35" s="2232"/>
      <c r="X35" s="2232"/>
      <c r="Y35" s="2232"/>
      <c r="Z35" s="2232"/>
      <c r="AA35" s="2232"/>
      <c r="AB35" s="2232"/>
      <c r="AC35" s="2232"/>
      <c r="AD35" s="2232"/>
      <c r="AE35" s="2232"/>
      <c r="AF35" s="2232"/>
      <c r="AG35" s="2232"/>
      <c r="AH35" s="2232"/>
      <c r="AI35" s="2232"/>
    </row>
    <row r="36" spans="1:42" ht="14.25" customHeight="1">
      <c r="Q36" s="304"/>
      <c r="R36" s="304"/>
      <c r="S36" s="2007" t="s">
        <v>292</v>
      </c>
      <c r="T36" s="2007"/>
      <c r="U36" s="2007"/>
      <c r="V36" s="2007"/>
      <c r="W36" s="2007"/>
      <c r="X36" s="2007"/>
      <c r="Y36" s="2007"/>
      <c r="Z36" s="2007"/>
      <c r="AA36" s="2007"/>
      <c r="AB36" s="2007"/>
      <c r="AC36" s="2007"/>
      <c r="AD36" s="2007"/>
      <c r="AE36" s="2007"/>
      <c r="AF36" s="2007"/>
      <c r="AG36" s="2007"/>
      <c r="AH36" s="2007"/>
      <c r="AI36" s="2007"/>
      <c r="AJ36" s="2007"/>
      <c r="AK36" s="2007" t="s">
        <v>293</v>
      </c>
    </row>
    <row r="37" spans="1:42" ht="14.25" customHeight="1">
      <c r="Q37" s="304"/>
      <c r="R37" s="304"/>
      <c r="S37" s="2233" t="s">
        <v>87</v>
      </c>
      <c r="T37" s="2097" t="s">
        <v>1491</v>
      </c>
      <c r="U37" s="219"/>
      <c r="V37" s="2234" t="s">
        <v>1492</v>
      </c>
      <c r="W37" s="2235"/>
      <c r="X37" s="2235"/>
      <c r="Y37" s="2235"/>
      <c r="Z37" s="2235"/>
      <c r="AA37" s="2236"/>
      <c r="AB37" s="2237" t="s">
        <v>1493</v>
      </c>
      <c r="AC37" s="2234" t="s">
        <v>1492</v>
      </c>
      <c r="AD37" s="2235"/>
      <c r="AE37" s="2235"/>
      <c r="AF37" s="2235"/>
      <c r="AG37" s="2235"/>
      <c r="AH37" s="2236"/>
      <c r="AI37" s="2237" t="s">
        <v>1494</v>
      </c>
      <c r="AJ37" s="2240" t="s">
        <v>1495</v>
      </c>
      <c r="AK37" s="2007"/>
    </row>
    <row r="38" spans="1:42" ht="33.75" customHeight="1">
      <c r="Q38" s="304"/>
      <c r="R38" s="304"/>
      <c r="S38" s="2233"/>
      <c r="T38" s="2097"/>
      <c r="U38" s="924"/>
      <c r="V38" s="1315" t="s">
        <v>1686</v>
      </c>
      <c r="W38" s="1989" t="s">
        <v>1498</v>
      </c>
      <c r="X38" s="1988"/>
      <c r="Y38" s="1989" t="s">
        <v>1499</v>
      </c>
      <c r="Z38" s="1994"/>
      <c r="AA38" s="1988"/>
      <c r="AB38" s="2238"/>
      <c r="AC38" s="1315" t="s">
        <v>1686</v>
      </c>
      <c r="AD38" s="1989" t="s">
        <v>1498</v>
      </c>
      <c r="AE38" s="1988"/>
      <c r="AF38" s="1989" t="s">
        <v>1499</v>
      </c>
      <c r="AG38" s="1994"/>
      <c r="AH38" s="1988"/>
      <c r="AI38" s="2238"/>
      <c r="AJ38" s="2241"/>
      <c r="AK38" s="2007"/>
    </row>
    <row r="39" spans="1:42" ht="33.75" customHeight="1">
      <c r="A39" s="1249"/>
      <c r="B39" s="1249" t="s">
        <v>136</v>
      </c>
      <c r="C39" s="1249" t="s">
        <v>137</v>
      </c>
      <c r="D39" s="1249" t="s">
        <v>138</v>
      </c>
      <c r="E39" s="1243" t="s">
        <v>1500</v>
      </c>
      <c r="F39" s="1243" t="s">
        <v>1501</v>
      </c>
      <c r="G39" s="1243" t="s">
        <v>1502</v>
      </c>
      <c r="H39" s="1243"/>
      <c r="I39" s="1243" t="s">
        <v>1687</v>
      </c>
      <c r="J39" s="1243" t="s">
        <v>1505</v>
      </c>
      <c r="K39" s="1243" t="s">
        <v>1688</v>
      </c>
      <c r="L39" s="1243" t="s">
        <v>1481</v>
      </c>
      <c r="Q39" s="304"/>
      <c r="R39" s="304"/>
      <c r="S39" s="2233"/>
      <c r="T39" s="2097"/>
      <c r="U39" s="220"/>
      <c r="V39" s="1315" t="s">
        <v>1689</v>
      </c>
      <c r="W39" s="1090" t="s">
        <v>1690</v>
      </c>
      <c r="X39" s="1090" t="s">
        <v>1691</v>
      </c>
      <c r="Y39" s="1318" t="s">
        <v>1509</v>
      </c>
      <c r="Z39" s="2103" t="s">
        <v>1510</v>
      </c>
      <c r="AA39" s="2117"/>
      <c r="AB39" s="2239"/>
      <c r="AC39" s="1315" t="s">
        <v>1689</v>
      </c>
      <c r="AD39" s="1090" t="s">
        <v>1690</v>
      </c>
      <c r="AE39" s="1090" t="s">
        <v>1691</v>
      </c>
      <c r="AF39" s="1318" t="s">
        <v>1509</v>
      </c>
      <c r="AG39" s="2103" t="s">
        <v>1510</v>
      </c>
      <c r="AH39" s="2117"/>
      <c r="AI39" s="2239"/>
      <c r="AJ39" s="2242"/>
      <c r="AK39" s="2007"/>
    </row>
    <row r="40" spans="1:42" s="1708" customFormat="1" ht="11.25" hidden="1" customHeight="1">
      <c r="A40" s="1249"/>
      <c r="B40" s="1249"/>
      <c r="C40" s="1249"/>
      <c r="D40" s="1249"/>
      <c r="E40" s="1249"/>
      <c r="F40" s="1249"/>
      <c r="G40" s="1249"/>
      <c r="H40" s="1249"/>
      <c r="I40" s="1249"/>
      <c r="J40" s="1249"/>
      <c r="K40" s="1249"/>
      <c r="L40" s="1243"/>
      <c r="M40" s="1241"/>
      <c r="N40" s="1241"/>
      <c r="O40" s="1241"/>
      <c r="P40" s="1117"/>
      <c r="Q40" s="1118"/>
      <c r="R40" s="1133">
        <v>1</v>
      </c>
      <c r="S40" s="1158" t="s">
        <v>108</v>
      </c>
      <c r="T40" s="1134" t="s">
        <v>109</v>
      </c>
      <c r="U40" s="1116" t="str">
        <f ca="1">OFFSET(U40,0,-1)</f>
        <v>2</v>
      </c>
      <c r="V40" s="1314">
        <f ca="1">OFFSET(V40,0,-1)+1</f>
        <v>3</v>
      </c>
      <c r="W40" s="1314">
        <f ca="1">OFFSET(W40,0,-1)+1</f>
        <v>4</v>
      </c>
      <c r="X40" s="1314">
        <f ca="1">OFFSET(X40,0,-1)+1</f>
        <v>5</v>
      </c>
      <c r="Y40" s="1314">
        <f ca="1">OFFSET(Y40,0,-1)+1</f>
        <v>6</v>
      </c>
      <c r="Z40" s="2231">
        <f ca="1">OFFSET(Z40,0,-1)+1</f>
        <v>7</v>
      </c>
      <c r="AA40" s="2231"/>
      <c r="AB40" s="1314">
        <f ca="1">OFFSET(AB40,0,-2)+1</f>
        <v>8</v>
      </c>
      <c r="AC40" s="1314">
        <f ca="1">OFFSET(AC40,0,-1)+1</f>
        <v>9</v>
      </c>
      <c r="AD40" s="1314">
        <f ca="1">OFFSET(AD40,0,-1)+1</f>
        <v>10</v>
      </c>
      <c r="AE40" s="1314">
        <f ca="1">OFFSET(AE40,0,-1)+1</f>
        <v>11</v>
      </c>
      <c r="AF40" s="1314">
        <f ca="1">OFFSET(AF40,0,-1)+1</f>
        <v>12</v>
      </c>
      <c r="AG40" s="2231">
        <f ca="1">OFFSET(AG40,0,-1)+1</f>
        <v>13</v>
      </c>
      <c r="AH40" s="2231"/>
      <c r="AI40" s="1314">
        <f ca="1">OFFSET(AI40,0,-2)+1</f>
        <v>14</v>
      </c>
      <c r="AJ40" s="1116">
        <f ca="1">OFFSET(AJ40,0,-1)</f>
        <v>14</v>
      </c>
      <c r="AK40" s="1314">
        <f ca="1">OFFSET(AK40,0,-1)+1</f>
        <v>15</v>
      </c>
      <c r="AL40" s="439"/>
      <c r="AM40" s="439"/>
      <c r="AN40" s="439"/>
      <c r="AO40" s="439"/>
      <c r="AP40" s="439"/>
    </row>
    <row r="41" spans="1:42" ht="23.25" customHeight="1">
      <c r="A41" s="1242" t="s">
        <v>233</v>
      </c>
      <c r="B41" s="1242"/>
      <c r="C41" s="1242"/>
      <c r="D41" s="1242"/>
      <c r="E41" s="2221">
        <v>1</v>
      </c>
      <c r="F41" s="1242"/>
      <c r="G41" s="1242"/>
      <c r="H41" s="1242"/>
      <c r="I41" s="1242"/>
      <c r="J41" s="1242"/>
      <c r="K41" s="1242"/>
      <c r="L41" s="1243"/>
      <c r="M41" s="1244"/>
      <c r="N41" s="1244"/>
      <c r="O41" s="1244"/>
      <c r="P41" s="285"/>
      <c r="Q41" s="284"/>
      <c r="R41" s="279"/>
      <c r="S41" s="1320">
        <f>INDEX(PT_DIFFERENTIATION_NUM_NTAR,MATCH(A41,PT_DIFFERENTIATION_NTAR_ID,0))</f>
        <v>0</v>
      </c>
      <c r="T41" s="216" t="s">
        <v>124</v>
      </c>
      <c r="U41" s="218"/>
      <c r="V41" s="2215"/>
      <c r="W41" s="2216"/>
      <c r="X41" s="2216"/>
      <c r="Y41" s="2216"/>
      <c r="Z41" s="2216"/>
      <c r="AA41" s="2216"/>
      <c r="AB41" s="2217"/>
      <c r="AC41" s="2215" t="str">
        <f>INDEX(PT_DIFFERENTIATION_NTAR,MATCH(A41,PT_DIFFERENTIATION_NTAR_ID,0))</f>
        <v/>
      </c>
      <c r="AD41" s="2216"/>
      <c r="AE41" s="2216"/>
      <c r="AF41" s="2216"/>
      <c r="AG41" s="2216"/>
      <c r="AH41" s="2216"/>
      <c r="AI41" s="2216"/>
      <c r="AJ41" s="2217"/>
      <c r="AK41" s="1138"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41" s="428"/>
      <c r="AN41" s="428" t="str">
        <f t="shared" ref="AN41:AN53" si="1">IF(T41="","",T41)</f>
        <v>Наименование тарифа</v>
      </c>
      <c r="AO41" s="428"/>
      <c r="AP41" s="428"/>
    </row>
    <row r="42" spans="1:42" ht="23.25" customHeight="1">
      <c r="A42" s="1242" t="s">
        <v>233</v>
      </c>
      <c r="B42" s="1242" t="s">
        <v>234</v>
      </c>
      <c r="C42" s="1242"/>
      <c r="D42" s="1242"/>
      <c r="E42" s="2222"/>
      <c r="F42" s="2221">
        <v>1</v>
      </c>
      <c r="G42" s="1242"/>
      <c r="H42" s="1242"/>
      <c r="I42" s="1242"/>
      <c r="J42" s="1242"/>
      <c r="K42" s="1242"/>
      <c r="L42" s="1243"/>
      <c r="M42" s="1244"/>
      <c r="N42" s="1244"/>
      <c r="O42" s="1244"/>
      <c r="P42" s="1316"/>
      <c r="Q42" s="276"/>
      <c r="R42" s="277"/>
      <c r="S42" s="1320" t="str">
        <f>INDEX(PT_DIFFERENTIATION_NUM_TER,MATCH(B42,PT_DIFFERENTIATION_TER_ID,0))</f>
        <v>.</v>
      </c>
      <c r="T42" s="228" t="s">
        <v>1463</v>
      </c>
      <c r="U42" s="218"/>
      <c r="V42" s="2215"/>
      <c r="W42" s="2216"/>
      <c r="X42" s="2216"/>
      <c r="Y42" s="2216"/>
      <c r="Z42" s="2216"/>
      <c r="AA42" s="2216"/>
      <c r="AB42" s="2217"/>
      <c r="AC42" s="2215" t="str">
        <f>INDEX(PT_DIFFERENTIATION_TER,MATCH(B42,PT_DIFFERENTIATION_TER_ID,0))</f>
        <v/>
      </c>
      <c r="AD42" s="2216"/>
      <c r="AE42" s="2216"/>
      <c r="AF42" s="2216"/>
      <c r="AG42" s="2216"/>
      <c r="AH42" s="2216"/>
      <c r="AI42" s="2216"/>
      <c r="AJ42" s="2217"/>
      <c r="AK42" s="1138" t="s">
        <v>1464</v>
      </c>
      <c r="AM42" s="428"/>
      <c r="AN42" s="428" t="str">
        <f t="shared" si="1"/>
        <v>Территория действия тарифа</v>
      </c>
      <c r="AO42" s="428"/>
      <c r="AP42" s="428"/>
    </row>
    <row r="43" spans="1:42" ht="23.25" customHeight="1">
      <c r="A43" s="1242" t="s">
        <v>233</v>
      </c>
      <c r="B43" s="1242" t="s">
        <v>234</v>
      </c>
      <c r="C43" s="1242" t="s">
        <v>235</v>
      </c>
      <c r="D43" s="1242"/>
      <c r="E43" s="2222"/>
      <c r="F43" s="2222"/>
      <c r="G43" s="2221">
        <v>1</v>
      </c>
      <c r="H43" s="1242"/>
      <c r="I43" s="1242"/>
      <c r="J43" s="1242"/>
      <c r="K43" s="1242"/>
      <c r="L43" s="1243"/>
      <c r="M43" s="1244"/>
      <c r="N43" s="1244"/>
      <c r="O43" s="1244"/>
      <c r="P43" s="278"/>
      <c r="Q43" s="276"/>
      <c r="R43" s="277"/>
      <c r="S43" s="1320" t="str">
        <f>INDEX(PT_DIFFERENTIATION_NUM_CS,MATCH(C43,PT_DIFFERENTIATION_CS_ID,0))</f>
        <v>..</v>
      </c>
      <c r="T43" s="229" t="s">
        <v>1678</v>
      </c>
      <c r="U43" s="218"/>
      <c r="V43" s="2215"/>
      <c r="W43" s="2216"/>
      <c r="X43" s="2216"/>
      <c r="Y43" s="2216"/>
      <c r="Z43" s="2216"/>
      <c r="AA43" s="2216"/>
      <c r="AB43" s="2217"/>
      <c r="AC43" s="2215" t="str">
        <f>INDEX(PT_DIFFERENTIATION_CS,MATCH(C43,PT_DIFFERENTIATION_CS_ID,0))</f>
        <v/>
      </c>
      <c r="AD43" s="2216"/>
      <c r="AE43" s="2216"/>
      <c r="AF43" s="2216"/>
      <c r="AG43" s="2216"/>
      <c r="AH43" s="2216"/>
      <c r="AI43" s="2216"/>
      <c r="AJ43" s="2217"/>
      <c r="AK43" s="1138" t="s">
        <v>1679</v>
      </c>
      <c r="AM43" s="428"/>
      <c r="AN43" s="428" t="str">
        <f t="shared" si="1"/>
        <v>Наименование централизованной системы холодного водоснабжения</v>
      </c>
      <c r="AO43" s="428"/>
      <c r="AP43" s="428"/>
    </row>
    <row r="44" spans="1:42" ht="23.25" customHeight="1">
      <c r="A44" s="1242" t="s">
        <v>233</v>
      </c>
      <c r="B44" s="1242" t="s">
        <v>234</v>
      </c>
      <c r="C44" s="1242" t="s">
        <v>235</v>
      </c>
      <c r="D44" s="1242" t="s">
        <v>1697</v>
      </c>
      <c r="E44" s="2222"/>
      <c r="F44" s="2222"/>
      <c r="G44" s="2222"/>
      <c r="H44" s="2222"/>
      <c r="I44" s="2223" t="str">
        <f>S43&amp;".1"</f>
        <v>...1</v>
      </c>
      <c r="J44" s="1242"/>
      <c r="K44" s="1242"/>
      <c r="L44" s="1243"/>
      <c r="P44" s="2143">
        <v>1</v>
      </c>
      <c r="Q44" s="1313"/>
      <c r="R44" s="280"/>
      <c r="S44" s="1320" t="str">
        <f>$I44</f>
        <v>...1</v>
      </c>
      <c r="T44" s="203" t="s">
        <v>1680</v>
      </c>
      <c r="U44" s="218"/>
      <c r="V44" s="2313"/>
      <c r="W44" s="2314"/>
      <c r="X44" s="2314"/>
      <c r="Y44" s="2314"/>
      <c r="Z44" s="2314"/>
      <c r="AA44" s="2314"/>
      <c r="AB44" s="2315"/>
      <c r="AC44" s="2316"/>
      <c r="AD44" s="2317"/>
      <c r="AE44" s="2317"/>
      <c r="AF44" s="2317"/>
      <c r="AG44" s="2317"/>
      <c r="AH44" s="2317"/>
      <c r="AI44" s="2317"/>
      <c r="AJ44" s="2318"/>
      <c r="AK44" s="1138" t="s">
        <v>1681</v>
      </c>
      <c r="AM44" s="428"/>
      <c r="AN44" s="428" t="str">
        <f t="shared" si="1"/>
        <v>Наименование признака дифференциации</v>
      </c>
      <c r="AO44" s="428"/>
      <c r="AP44" s="428"/>
    </row>
    <row r="45" spans="1:42" ht="23.25" customHeight="1">
      <c r="A45" s="1242" t="s">
        <v>233</v>
      </c>
      <c r="B45" s="1242" t="s">
        <v>234</v>
      </c>
      <c r="C45" s="1242" t="s">
        <v>235</v>
      </c>
      <c r="D45" s="1242" t="s">
        <v>1697</v>
      </c>
      <c r="E45" s="2222"/>
      <c r="F45" s="2222"/>
      <c r="G45" s="2222"/>
      <c r="H45" s="2222"/>
      <c r="I45" s="2224"/>
      <c r="J45" s="2223" t="str">
        <f>I44&amp;".1"</f>
        <v>...1.1</v>
      </c>
      <c r="K45" s="1242"/>
      <c r="L45" s="1243" t="s">
        <v>1472</v>
      </c>
      <c r="P45" s="2143"/>
      <c r="Q45" s="2143">
        <v>1</v>
      </c>
      <c r="R45" s="281"/>
      <c r="S45" s="1320" t="str">
        <f>$J45</f>
        <v>...1.1</v>
      </c>
      <c r="T45" s="204" t="s">
        <v>1473</v>
      </c>
      <c r="U45" s="218"/>
      <c r="V45" s="2210"/>
      <c r="W45" s="2211"/>
      <c r="X45" s="2211"/>
      <c r="Y45" s="2211"/>
      <c r="Z45" s="2211"/>
      <c r="AA45" s="2211"/>
      <c r="AB45" s="2212"/>
      <c r="AC45" s="2210"/>
      <c r="AD45" s="2211"/>
      <c r="AE45" s="2211"/>
      <c r="AF45" s="2211"/>
      <c r="AG45" s="2211"/>
      <c r="AH45" s="2211"/>
      <c r="AI45" s="2211"/>
      <c r="AJ45" s="2212"/>
      <c r="AK45" s="1192" t="s">
        <v>1682</v>
      </c>
      <c r="AM45" s="428"/>
      <c r="AN45" s="428" t="str">
        <f t="shared" si="1"/>
        <v>Группа потребителей</v>
      </c>
      <c r="AO45" s="428"/>
      <c r="AP45" s="428"/>
    </row>
    <row r="46" spans="1:42" ht="23.25" customHeight="1">
      <c r="A46" s="1242" t="s">
        <v>233</v>
      </c>
      <c r="B46" s="1242" t="s">
        <v>234</v>
      </c>
      <c r="C46" s="1242" t="s">
        <v>235</v>
      </c>
      <c r="D46" s="1242" t="s">
        <v>1697</v>
      </c>
      <c r="E46" s="2222"/>
      <c r="F46" s="2222"/>
      <c r="G46" s="2222"/>
      <c r="H46" s="2222"/>
      <c r="I46" s="2224"/>
      <c r="J46" s="2224"/>
      <c r="K46" s="2223" t="str">
        <f>J45&amp;".1"</f>
        <v>...1.1.1</v>
      </c>
      <c r="L46" s="1243"/>
      <c r="P46" s="2143"/>
      <c r="Q46" s="2143"/>
      <c r="R46" s="281">
        <v>1</v>
      </c>
      <c r="S46" s="1320" t="str">
        <f>$K46</f>
        <v>...1.1.1</v>
      </c>
      <c r="T46" s="1304"/>
      <c r="U46" s="218"/>
      <c r="V46" s="1664"/>
      <c r="W46" s="1664"/>
      <c r="X46" s="1666"/>
      <c r="Y46" s="2225"/>
      <c r="Z46" s="2017" t="s">
        <v>62</v>
      </c>
      <c r="AA46" s="2225"/>
      <c r="AB46" s="2017" t="s">
        <v>62</v>
      </c>
      <c r="AC46" s="1664"/>
      <c r="AD46" s="1664"/>
      <c r="AE46" s="1666"/>
      <c r="AF46" s="2225"/>
      <c r="AG46" s="2017" t="s">
        <v>62</v>
      </c>
      <c r="AH46" s="2227"/>
      <c r="AI46" s="2017" t="s">
        <v>62</v>
      </c>
      <c r="AJ46" s="1703"/>
      <c r="AK46" s="2319"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46" s="439" t="e">
        <f ca="1">STRCHECKDATE(V47:AJ47)</f>
        <v>#NAME?</v>
      </c>
      <c r="AM46" s="428"/>
      <c r="AN46" s="428" t="str">
        <f t="shared" si="1"/>
        <v/>
      </c>
      <c r="AO46" s="428"/>
      <c r="AP46" s="428"/>
    </row>
    <row r="47" spans="1:42" ht="0" hidden="1" customHeight="1">
      <c r="A47" s="1242" t="s">
        <v>233</v>
      </c>
      <c r="B47" s="1242" t="s">
        <v>234</v>
      </c>
      <c r="C47" s="1242" t="s">
        <v>235</v>
      </c>
      <c r="D47" s="1242" t="s">
        <v>1697</v>
      </c>
      <c r="E47" s="2222"/>
      <c r="F47" s="2222"/>
      <c r="G47" s="2222"/>
      <c r="H47" s="2222"/>
      <c r="I47" s="2224"/>
      <c r="J47" s="2224"/>
      <c r="K47" s="2223"/>
      <c r="L47" s="1243"/>
      <c r="P47" s="2143"/>
      <c r="Q47" s="2143"/>
      <c r="R47" s="281"/>
      <c r="S47" s="1319"/>
      <c r="T47" s="218"/>
      <c r="U47" s="218"/>
      <c r="V47" s="1665"/>
      <c r="W47" s="1665"/>
      <c r="X47" s="1667" t="str">
        <f>Y46&amp;"-"&amp;AA46</f>
        <v>-</v>
      </c>
      <c r="Y47" s="2226"/>
      <c r="Z47" s="2017"/>
      <c r="AA47" s="2226"/>
      <c r="AB47" s="2017"/>
      <c r="AC47" s="1665"/>
      <c r="AD47" s="1665"/>
      <c r="AE47" s="1667" t="str">
        <f>AF46&amp;"-"&amp;AH46</f>
        <v>-</v>
      </c>
      <c r="AF47" s="2226"/>
      <c r="AG47" s="2017"/>
      <c r="AH47" s="2228"/>
      <c r="AI47" s="2017"/>
      <c r="AJ47" s="1704"/>
      <c r="AK47" s="2319"/>
      <c r="AM47" s="428"/>
      <c r="AN47" s="428" t="str">
        <f t="shared" si="1"/>
        <v/>
      </c>
      <c r="AO47" s="428"/>
      <c r="AP47" s="428"/>
    </row>
    <row r="48" spans="1:42" ht="21" customHeight="1">
      <c r="A48" s="1242" t="s">
        <v>233</v>
      </c>
      <c r="B48" s="1242" t="s">
        <v>234</v>
      </c>
      <c r="C48" s="1242" t="s">
        <v>235</v>
      </c>
      <c r="D48" s="1242" t="s">
        <v>1697</v>
      </c>
      <c r="E48" s="2222"/>
      <c r="F48" s="2222"/>
      <c r="G48" s="2222"/>
      <c r="H48" s="2222"/>
      <c r="I48" s="2224"/>
      <c r="J48" s="2223"/>
      <c r="K48" s="1242"/>
      <c r="L48" s="1243"/>
      <c r="P48" s="2143"/>
      <c r="Q48" s="2143"/>
      <c r="R48" s="280"/>
      <c r="S48" s="1159"/>
      <c r="T48" s="205" t="s">
        <v>1683</v>
      </c>
      <c r="U48" s="294"/>
      <c r="V48" s="294"/>
      <c r="W48" s="294"/>
      <c r="X48" s="294"/>
      <c r="Y48" s="294"/>
      <c r="Z48" s="294"/>
      <c r="AA48" s="294"/>
      <c r="AB48" s="294"/>
      <c r="AC48" s="294"/>
      <c r="AD48" s="294"/>
      <c r="AE48" s="294"/>
      <c r="AF48" s="294"/>
      <c r="AG48" s="294"/>
      <c r="AH48" s="294"/>
      <c r="AI48" s="294"/>
      <c r="AJ48" s="294"/>
      <c r="AK48" s="1138" t="s">
        <v>1684</v>
      </c>
      <c r="AM48" s="428"/>
      <c r="AN48" s="428" t="str">
        <f t="shared" si="1"/>
        <v>Добавить значение признака дифференциации</v>
      </c>
      <c r="AO48" s="428"/>
      <c r="AP48" s="428"/>
    </row>
    <row r="49" spans="1:42" ht="21" customHeight="1">
      <c r="A49" s="1242" t="s">
        <v>233</v>
      </c>
      <c r="B49" s="1242" t="s">
        <v>234</v>
      </c>
      <c r="C49" s="1242" t="s">
        <v>235</v>
      </c>
      <c r="D49" s="1242" t="s">
        <v>1697</v>
      </c>
      <c r="E49" s="2222"/>
      <c r="F49" s="2222"/>
      <c r="G49" s="2222"/>
      <c r="H49" s="2222"/>
      <c r="I49" s="2223"/>
      <c r="J49" s="1242"/>
      <c r="K49" s="1242"/>
      <c r="L49" s="1243"/>
      <c r="P49" s="2143"/>
      <c r="Q49" s="1313"/>
      <c r="R49" s="280"/>
      <c r="S49" s="1159"/>
      <c r="T49" s="291" t="s">
        <v>1478</v>
      </c>
      <c r="U49" s="294"/>
      <c r="V49" s="294"/>
      <c r="W49" s="294"/>
      <c r="X49" s="294"/>
      <c r="Y49" s="294"/>
      <c r="Z49" s="294"/>
      <c r="AA49" s="294"/>
      <c r="AB49" s="293"/>
      <c r="AC49" s="294"/>
      <c r="AD49" s="294"/>
      <c r="AE49" s="294"/>
      <c r="AF49" s="294"/>
      <c r="AG49" s="294"/>
      <c r="AH49" s="294"/>
      <c r="AI49" s="293"/>
      <c r="AJ49" s="294"/>
      <c r="AK49" s="1305"/>
      <c r="AM49" s="428"/>
      <c r="AN49" s="428" t="str">
        <f t="shared" si="1"/>
        <v>Добавить группу потребителей</v>
      </c>
      <c r="AO49" s="428"/>
      <c r="AP49" s="428"/>
    </row>
    <row r="50" spans="1:42" ht="21" customHeight="1">
      <c r="A50" s="1242" t="s">
        <v>233</v>
      </c>
      <c r="B50" s="1242" t="s">
        <v>234</v>
      </c>
      <c r="C50" s="1242" t="s">
        <v>235</v>
      </c>
      <c r="D50" s="1242" t="s">
        <v>1697</v>
      </c>
      <c r="E50" s="2222"/>
      <c r="F50" s="2222"/>
      <c r="G50" s="2222"/>
      <c r="H50" s="2221"/>
      <c r="I50" s="1242"/>
      <c r="J50" s="1242"/>
      <c r="K50" s="1242"/>
      <c r="L50" s="1243"/>
      <c r="M50" s="1244"/>
      <c r="N50" s="1244"/>
      <c r="O50" s="464"/>
      <c r="P50" s="284"/>
      <c r="Q50" s="303"/>
      <c r="R50" s="279"/>
      <c r="S50" s="1159"/>
      <c r="T50" s="299" t="s">
        <v>1685</v>
      </c>
      <c r="U50" s="294"/>
      <c r="V50" s="294"/>
      <c r="W50" s="294"/>
      <c r="X50" s="294"/>
      <c r="Y50" s="294"/>
      <c r="Z50" s="294"/>
      <c r="AA50" s="294"/>
      <c r="AB50" s="293"/>
      <c r="AC50" s="294"/>
      <c r="AD50" s="294"/>
      <c r="AE50" s="294"/>
      <c r="AF50" s="294"/>
      <c r="AG50" s="294"/>
      <c r="AH50" s="294"/>
      <c r="AI50" s="293"/>
      <c r="AJ50" s="294"/>
      <c r="AK50" s="221"/>
      <c r="AM50" s="428"/>
      <c r="AN50" s="428" t="str">
        <f t="shared" si="1"/>
        <v>Добавить наименование признака дифференциации</v>
      </c>
      <c r="AO50" s="428"/>
      <c r="AP50" s="428"/>
    </row>
    <row r="51" spans="1:42" s="1755" customFormat="1" ht="0.75" customHeight="1">
      <c r="A51" s="1226" t="s">
        <v>233</v>
      </c>
      <c r="B51" s="1226" t="s">
        <v>234</v>
      </c>
      <c r="C51" s="1198"/>
      <c r="D51" s="1198"/>
      <c r="E51" s="2222"/>
      <c r="F51" s="2221"/>
      <c r="G51" s="1198"/>
      <c r="H51" s="1198"/>
      <c r="I51" s="1198"/>
      <c r="J51" s="1198"/>
      <c r="K51" s="1198"/>
      <c r="L51" s="1321"/>
      <c r="M51" s="1205"/>
      <c r="N51" s="1205"/>
      <c r="P51" s="1200"/>
      <c r="Q51" s="1201"/>
      <c r="R51" s="1200"/>
      <c r="S51" s="1206"/>
      <c r="T51" s="1209" t="s">
        <v>1439</v>
      </c>
      <c r="U51" s="1208"/>
      <c r="V51" s="1208"/>
      <c r="W51" s="1208"/>
      <c r="X51" s="1208"/>
      <c r="Y51" s="1208"/>
      <c r="Z51" s="1208"/>
      <c r="AA51" s="1208"/>
      <c r="AB51" s="1208"/>
      <c r="AC51" s="1208"/>
      <c r="AD51" s="1208"/>
      <c r="AE51" s="1208"/>
      <c r="AF51" s="1208"/>
      <c r="AG51" s="1208"/>
      <c r="AH51" s="1208"/>
      <c r="AI51" s="1208"/>
      <c r="AJ51" s="1208"/>
      <c r="AK51" s="1208"/>
      <c r="AM51" s="695"/>
      <c r="AN51" s="695" t="str">
        <f t="shared" si="1"/>
        <v>Добавить централизованную систему для дифференциации</v>
      </c>
      <c r="AO51" s="695"/>
      <c r="AP51" s="695"/>
    </row>
    <row r="52" spans="1:42" s="1755" customFormat="1" ht="0.75" customHeight="1">
      <c r="A52" s="1226" t="s">
        <v>233</v>
      </c>
      <c r="B52" s="1226"/>
      <c r="C52" s="1226"/>
      <c r="D52" s="1226"/>
      <c r="E52" s="2221"/>
      <c r="F52" s="1226"/>
      <c r="G52" s="1226"/>
      <c r="H52" s="1226"/>
      <c r="I52" s="1226"/>
      <c r="J52" s="1226"/>
      <c r="K52" s="1226"/>
      <c r="L52" s="1229"/>
      <c r="M52" s="1205"/>
      <c r="N52" s="1205"/>
      <c r="O52" s="446"/>
      <c r="P52" s="311"/>
      <c r="Q52" s="1227"/>
      <c r="R52" s="311"/>
      <c r="S52" s="1206"/>
      <c r="T52" s="1209" t="s">
        <v>1440</v>
      </c>
      <c r="U52" s="1208"/>
      <c r="V52" s="1208"/>
      <c r="W52" s="1208"/>
      <c r="X52" s="1208"/>
      <c r="Y52" s="1208"/>
      <c r="Z52" s="1208"/>
      <c r="AA52" s="1208"/>
      <c r="AB52" s="1208"/>
      <c r="AC52" s="1208"/>
      <c r="AD52" s="1208"/>
      <c r="AE52" s="1208"/>
      <c r="AF52" s="1208"/>
      <c r="AG52" s="1208"/>
      <c r="AH52" s="1208"/>
      <c r="AI52" s="1208"/>
      <c r="AJ52" s="1208"/>
      <c r="AK52" s="1208"/>
      <c r="AM52" s="428"/>
      <c r="AN52" s="428" t="str">
        <f t="shared" si="1"/>
        <v>Добавить территорию для дифференциации</v>
      </c>
      <c r="AO52" s="428"/>
      <c r="AP52" s="428"/>
    </row>
    <row r="53" spans="1:42" s="1755" customFormat="1" ht="0.75" customHeight="1">
      <c r="A53" s="1198"/>
      <c r="B53" s="1198"/>
      <c r="C53" s="1198"/>
      <c r="D53" s="1198"/>
      <c r="E53" s="1226"/>
      <c r="F53" s="1198"/>
      <c r="G53" s="1198"/>
      <c r="H53" s="1198"/>
      <c r="I53" s="1198"/>
      <c r="J53" s="1198"/>
      <c r="K53" s="1198"/>
      <c r="L53" s="1321"/>
      <c r="M53" s="1205"/>
      <c r="N53" s="1205"/>
      <c r="P53" s="1200"/>
      <c r="Q53" s="1201"/>
      <c r="R53" s="1200"/>
      <c r="S53" s="1206"/>
      <c r="T53" s="1209" t="s">
        <v>1441</v>
      </c>
      <c r="U53" s="1208"/>
      <c r="V53" s="1208"/>
      <c r="W53" s="1208"/>
      <c r="X53" s="1208"/>
      <c r="Y53" s="1208"/>
      <c r="Z53" s="1208"/>
      <c r="AA53" s="1208"/>
      <c r="AB53" s="1208"/>
      <c r="AC53" s="1208"/>
      <c r="AD53" s="1208"/>
      <c r="AE53" s="1208"/>
      <c r="AF53" s="1208"/>
      <c r="AG53" s="1208"/>
      <c r="AH53" s="1208"/>
      <c r="AI53" s="1208"/>
      <c r="AJ53" s="1208"/>
      <c r="AK53" s="1208"/>
      <c r="AM53" s="695"/>
      <c r="AN53" s="695" t="str">
        <f t="shared" si="1"/>
        <v>Добавить наименование тарифа</v>
      </c>
      <c r="AO53" s="695"/>
      <c r="AP53" s="695"/>
    </row>
    <row r="54" spans="1:42" ht="11.25" hidden="1" customHeight="1">
      <c r="M54" s="1034"/>
      <c r="N54" s="1034"/>
      <c r="O54" s="464"/>
      <c r="P54" s="1029"/>
      <c r="Q54" s="1029"/>
      <c r="R54" s="1029"/>
      <c r="S54" s="1029"/>
      <c r="AL54" s="1029"/>
      <c r="AM54" s="1029"/>
      <c r="AN54" s="1029"/>
      <c r="AO54" s="1029"/>
      <c r="AP54" s="1029"/>
    </row>
    <row r="55" spans="1:42" ht="14.25" hidden="1" customHeight="1">
      <c r="O55" s="464"/>
      <c r="S55" s="1126" t="s">
        <v>1511</v>
      </c>
      <c r="T55" s="2220" t="s">
        <v>1693</v>
      </c>
      <c r="U55" s="2220"/>
      <c r="V55" s="2220"/>
      <c r="W55" s="2220"/>
      <c r="X55" s="2220"/>
      <c r="Y55" s="2220"/>
      <c r="Z55" s="2220"/>
      <c r="AA55" s="2220"/>
      <c r="AB55" s="2220"/>
      <c r="AC55" s="2220"/>
      <c r="AD55" s="2220"/>
      <c r="AE55" s="2220"/>
      <c r="AF55" s="2220"/>
      <c r="AG55" s="2220"/>
      <c r="AH55" s="2220"/>
      <c r="AI55" s="2220"/>
      <c r="AJ55" s="2220"/>
      <c r="AK55" s="2220"/>
    </row>
    <row r="56" spans="1:42" ht="14.25" hidden="1" customHeight="1">
      <c r="O56" s="464"/>
    </row>
    <row r="57" spans="1:42" ht="14.25" hidden="1" customHeight="1">
      <c r="O57" s="464"/>
      <c r="S57" s="1126" t="s">
        <v>1511</v>
      </c>
      <c r="T57" s="2220" t="s">
        <v>1694</v>
      </c>
      <c r="U57" s="2220"/>
      <c r="V57" s="2220"/>
      <c r="W57" s="2220"/>
      <c r="X57" s="2220"/>
      <c r="Y57" s="2220"/>
      <c r="Z57" s="2220"/>
      <c r="AA57" s="2220"/>
      <c r="AB57" s="2220"/>
      <c r="AC57" s="2220"/>
      <c r="AD57" s="2220"/>
      <c r="AE57" s="2220"/>
      <c r="AF57" s="2220"/>
      <c r="AG57" s="2220"/>
      <c r="AH57" s="2220"/>
      <c r="AI57" s="2220"/>
      <c r="AJ57" s="2220"/>
      <c r="AK57" s="2220"/>
    </row>
  </sheetData>
  <sheetProtection formatColumns="0" formatRows="0" insertRows="0" deleteColumns="0" deleteRows="0" sort="0" autoFilter="0"/>
  <mergeCells count="101">
    <mergeCell ref="E2:E13"/>
    <mergeCell ref="V2:AB2"/>
    <mergeCell ref="AC2:AJ2"/>
    <mergeCell ref="F3:F12"/>
    <mergeCell ref="V3:AB3"/>
    <mergeCell ref="AC3:AJ3"/>
    <mergeCell ref="G4:G11"/>
    <mergeCell ref="V4:AB4"/>
    <mergeCell ref="AC4:AJ4"/>
    <mergeCell ref="H5:H11"/>
    <mergeCell ref="I5:I10"/>
    <mergeCell ref="P5:P10"/>
    <mergeCell ref="V5:AB5"/>
    <mergeCell ref="AC5:AJ5"/>
    <mergeCell ref="J6:J9"/>
    <mergeCell ref="Q6:Q9"/>
    <mergeCell ref="V6:AB6"/>
    <mergeCell ref="AC6:AJ6"/>
    <mergeCell ref="K7:K8"/>
    <mergeCell ref="Y7:Y8"/>
    <mergeCell ref="AI7:AI8"/>
    <mergeCell ref="AK7:AK8"/>
    <mergeCell ref="AF15:AF16"/>
    <mergeCell ref="AG15:AG16"/>
    <mergeCell ref="AH15:AH16"/>
    <mergeCell ref="AI15:AI16"/>
    <mergeCell ref="Z7:Z8"/>
    <mergeCell ref="AA7:AA8"/>
    <mergeCell ref="AB7:AB8"/>
    <mergeCell ref="AF7:AF8"/>
    <mergeCell ref="AG7:AG8"/>
    <mergeCell ref="AH7:AH8"/>
    <mergeCell ref="S29:T29"/>
    <mergeCell ref="V29:AA29"/>
    <mergeCell ref="AC29:AH29"/>
    <mergeCell ref="S30:T30"/>
    <mergeCell ref="V30:AA30"/>
    <mergeCell ref="AC30:AH30"/>
    <mergeCell ref="S24:AH24"/>
    <mergeCell ref="S25:AH25"/>
    <mergeCell ref="S27:T27"/>
    <mergeCell ref="V27:AA27"/>
    <mergeCell ref="AC27:AH27"/>
    <mergeCell ref="S28:T28"/>
    <mergeCell ref="V28:AA28"/>
    <mergeCell ref="AC28:AH28"/>
    <mergeCell ref="AK36:AK39"/>
    <mergeCell ref="S37:S39"/>
    <mergeCell ref="T37:T39"/>
    <mergeCell ref="V37:AA37"/>
    <mergeCell ref="AB37:AB39"/>
    <mergeCell ref="AC37:AH37"/>
    <mergeCell ref="AI37:AI39"/>
    <mergeCell ref="S32:T32"/>
    <mergeCell ref="V32:AA32"/>
    <mergeCell ref="AC32:AH32"/>
    <mergeCell ref="S33:T33"/>
    <mergeCell ref="V33:AA33"/>
    <mergeCell ref="AC33:AH33"/>
    <mergeCell ref="AJ37:AJ39"/>
    <mergeCell ref="W38:X38"/>
    <mergeCell ref="Y38:AA38"/>
    <mergeCell ref="AD38:AE38"/>
    <mergeCell ref="AF38:AH38"/>
    <mergeCell ref="Z39:AA39"/>
    <mergeCell ref="AG39:AH39"/>
    <mergeCell ref="V35:AB35"/>
    <mergeCell ref="AC35:AI35"/>
    <mergeCell ref="S36:AJ36"/>
    <mergeCell ref="Z40:AA40"/>
    <mergeCell ref="AG40:AH40"/>
    <mergeCell ref="E41:E52"/>
    <mergeCell ref="V41:AB41"/>
    <mergeCell ref="AC41:AJ41"/>
    <mergeCell ref="F42:F51"/>
    <mergeCell ref="V42:AB42"/>
    <mergeCell ref="AC42:AJ42"/>
    <mergeCell ref="G43:G50"/>
    <mergeCell ref="V43:AB43"/>
    <mergeCell ref="AC43:AJ43"/>
    <mergeCell ref="H44:H50"/>
    <mergeCell ref="I44:I49"/>
    <mergeCell ref="P44:P49"/>
    <mergeCell ref="V44:AB44"/>
    <mergeCell ref="AC44:AJ44"/>
    <mergeCell ref="J45:J48"/>
    <mergeCell ref="Q45:Q48"/>
    <mergeCell ref="V45:AB45"/>
    <mergeCell ref="AC45:AJ45"/>
    <mergeCell ref="AG46:AG47"/>
    <mergeCell ref="AH46:AH47"/>
    <mergeCell ref="AI46:AI47"/>
    <mergeCell ref="AK46:AK47"/>
    <mergeCell ref="T55:AK55"/>
    <mergeCell ref="T57:AK57"/>
    <mergeCell ref="K46:K47"/>
    <mergeCell ref="Y46:Y47"/>
    <mergeCell ref="Z46:Z47"/>
    <mergeCell ref="AA46:AA47"/>
    <mergeCell ref="AB46:AB47"/>
    <mergeCell ref="AF46:AF47"/>
  </mergeCells>
  <dataValidations count="8">
    <dataValidation allowBlank="1" promptTitle="checkPeriodRange" sqref="X65579 X131115 X196651 X262187 X327723 X393259 X458795 X524331 X589867 X655403 X720939 X786475 X852011 X917547 X983083 AE16 AE65579 AE131115 AE196651 AE262187 AE327723 AE393259 AE458795 AE524331 AE589867 AE655403 AE720939 AE786475 AE852011 AE917547 AE983083 X47 AE8 X8 AE47"/>
    <dataValidation type="list" allowBlank="1" showInputMessage="1" showErrorMessage="1" errorTitle="Ошибка" error="Выберите значение из списка" sqref="V983080 V65576 V131112 V196648 V262184 V327720 V393256 V458792 V524328 V589864 V655400 V720936 V786472 V852008 V917544 AC983080 AC65576 AC131112 AC196648 AC262184 AC327720 AC393256 AC458792 AC524328 AC589864 AC655400 AC720936 AC786472 AC852008 AC917544">
      <formula1>kind_of_scheme_in</formula1>
    </dataValidation>
    <dataValidation type="textLength" operator="lessThanOrEqual" allowBlank="1" showInputMessage="1" showErrorMessage="1" errorTitle="Ошибка" error="Допускается ввод не более 900 символов!" sqref="AK65572:AK65579 AK131108:AK131115 AK196644:AK196651 AK262180:AK262187 AK327716:AK327723 AK393252:AK393259 AK458788:AK458795 AK524324:AK524331 AK589860:AK589867 AK655396:AK655403 AK720932:AK720939 AK786468:AK786475 AK852004:AK852011 AK917540:AK917547 AK983076:AK983083 T46 T7 AC44:AJ44 AC5:AJ5">
      <formula1>900</formula1>
    </dataValidation>
    <dataValidation type="list" allowBlank="1" showInputMessage="1" showErrorMessage="1" errorTitle="Ошибка" error="Выберите значение из списка" sqref="T65578 T131114 T196650 T262186 T327722 T393258 T458794 T524330 T589866 T655402 T720938 T786474 T852010 T917546 T983082">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Y65578 Y131114 Y196650 Y262186 Y327722 Y393258 Y458794 Y524330 Y589866 Y655402 Y720938 Y786474 Y852010 Y917546 Y983082 AA65578 AA131114 AA196650 AA262186 AA327722 AA393258 AA458794 AA524330 AA589866 AA655402 AA720938 AA786474 AA852010 AA917546 AA983082 AF15 AF65578 AF131114 AF196650 AF262186 AF327722 AF393258 AF458794 AF524330 AF589866 AF655402 AF720938 AF786474 AF852010 AF917546 AF983082 AH65578 AH131114 AH196650 AH262186 AH327722 AH393258 AH458794 AH524330 AH589866 AH655402 AH720938 AH786474 AH852010 AH917546 AH983082 AH46 AF46 AH15 Y46 AA46 AH7 AF7 Y7 AA7"/>
    <dataValidation allowBlank="1" showInputMessage="1" showErrorMessage="1" prompt="Для выбора выполните двойной щелчок левой клавиши мыши по соответствующей ячейке." sqref="Z65578 Z131114 Z196650 Z262186 Z327722 Z393258 Z458794 Z524330 Z589866 Z655402 Z720938 Z786474 Z852010 Z917546 Z983082 AB131114 AB458794 AB196650 AB262186 AB327722 AB393258 AB524330 AB589866 AB655402 AB720938 AB786474 AB852010 AB917546 AB983082 AB65578 AG65578 AG131114 AG196650 AG262186 AG327722 AG393258 AG458794 AG524330 AG589866 AG655402 AG720938 AG786474 AG852010 AG917546 AG983082 AI46 AI524330 AI196650 AI589866 AI655402 AI15 AI720938 AI786474 AI852010 AI917546 AI983082 AI65578 AI131114 AI458794 AI262186 AG46 AI7 Z46 AB46 AG15 AG7 Z7 AB7 AI327722 AI393258"/>
    <dataValidation allowBlank="1" sqref="S131116:AK131122 S196652:AK196658 S262188:AK262194 S327724:AK327730 S393260:AK393266 S458796:AK458802 S524332:AK524338 S589868:AK589874 S655404:AK655410 S720940:AK720946 S786476:AK786482 S852012:AK852018 S917548:AK917554 S983084:AK983090 S65580:AK65586"/>
    <dataValidation type="list" allowBlank="1" showInputMessage="1" errorTitle="Ошибка" error="Выберите значение из списка" prompt="Выберите значение из списка" sqref="V983081:AJ983081 V65577:AJ65577 V131113:AJ131113 V196649:AJ196649 V262185:AJ262185 V327721:AJ327721 V393257:AJ393257 V458793:AJ458793 V524329:AJ524329 V589865:AJ589865 V655401:AJ655401 V720937:AJ720937 V786473:AJ786473 V852009:AJ852009 V917545:AJ917545">
      <formula1>kind_of_cons</formula1>
    </dataValidation>
  </dataValidation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39997558519241921"/>
  </sheetPr>
  <dimension ref="A1:BH68"/>
  <sheetViews>
    <sheetView showGridLines="0" topLeftCell="R27" zoomScale="90" workbookViewId="0"/>
  </sheetViews>
  <sheetFormatPr defaultColWidth="10.5703125" defaultRowHeight="14.25" customHeight="1"/>
  <cols>
    <col min="1" max="1" width="11.5703125" style="1742" hidden="1" customWidth="1"/>
    <col min="2" max="2" width="11" style="1742" hidden="1" customWidth="1"/>
    <col min="3" max="3" width="10.5703125" style="1742" hidden="1"/>
    <col min="4" max="4" width="12.85546875" style="1742" hidden="1" customWidth="1"/>
    <col min="5" max="5" width="10" style="1742" hidden="1" customWidth="1"/>
    <col min="6" max="6" width="8.7109375" style="1742" hidden="1" customWidth="1"/>
    <col min="7" max="7" width="7.5703125" style="1742" hidden="1" customWidth="1"/>
    <col min="8" max="8" width="11.42578125" style="1742" hidden="1" customWidth="1"/>
    <col min="9" max="9" width="12" style="1742" hidden="1" customWidth="1"/>
    <col min="10" max="10" width="9.85546875" style="1742" hidden="1" customWidth="1"/>
    <col min="11" max="11" width="11.42578125" style="1742" hidden="1" customWidth="1"/>
    <col min="12" max="12" width="19.140625" style="1741" hidden="1" customWidth="1"/>
    <col min="13" max="14" width="12.28515625" style="1683" hidden="1" customWidth="1"/>
    <col min="15" max="15" width="23.42578125" style="1683" hidden="1" customWidth="1"/>
    <col min="16" max="16" width="3.7109375" style="1683" hidden="1" customWidth="1"/>
    <col min="17" max="17" width="3.7109375" style="1670" hidden="1" customWidth="1"/>
    <col min="18" max="18" width="3.7109375" style="1674" customWidth="1"/>
    <col min="19" max="19" width="12.7109375" style="1713" customWidth="1"/>
    <col min="20" max="20" width="32" style="1829" customWidth="1"/>
    <col min="21" max="21" width="0.140625" style="1829" customWidth="1"/>
    <col min="22" max="25" width="21.7109375" style="1829" hidden="1" customWidth="1"/>
    <col min="26" max="26" width="11.7109375" style="1829" hidden="1" customWidth="1"/>
    <col min="27" max="27" width="3.7109375" style="1829" hidden="1" customWidth="1"/>
    <col min="28" max="28" width="11.7109375" style="1829" hidden="1" customWidth="1"/>
    <col min="29" max="29" width="8.5703125" style="1829" hidden="1" customWidth="1"/>
    <col min="30" max="32" width="3.7109375" style="1829" customWidth="1"/>
    <col min="33" max="33" width="24.7109375" style="1829" customWidth="1"/>
    <col min="34" max="36" width="3.7109375" style="1829" customWidth="1"/>
    <col min="37" max="37" width="24.7109375" style="1829" customWidth="1"/>
    <col min="38" max="40" width="3.7109375" style="1829" customWidth="1"/>
    <col min="41" max="41" width="18.85546875" style="1829" customWidth="1"/>
    <col min="42" max="44" width="3.7109375" style="1829" customWidth="1"/>
    <col min="45" max="45" width="18.85546875" style="1829" customWidth="1"/>
    <col min="46" max="49" width="21.7109375" style="1829" customWidth="1"/>
    <col min="50" max="50" width="11.7109375" style="1829" customWidth="1"/>
    <col min="51" max="51" width="3.7109375" style="1829" customWidth="1"/>
    <col min="52" max="52" width="11.7109375" style="1829" customWidth="1"/>
    <col min="53" max="53" width="8.5703125" style="1829" hidden="1" customWidth="1"/>
    <col min="54" max="54" width="4.7109375" style="1829" customWidth="1"/>
    <col min="55" max="55" width="115.7109375" style="1829" customWidth="1"/>
    <col min="56" max="57" width="10.5703125" style="1755"/>
    <col min="58" max="58" width="11.140625" style="1755" customWidth="1"/>
    <col min="59" max="60" width="10.5703125" style="1755"/>
  </cols>
  <sheetData>
    <row r="1" spans="1:60" ht="14.25" hidden="1" customHeight="1">
      <c r="W1" s="254"/>
      <c r="Y1" s="254"/>
      <c r="Z1" s="254"/>
      <c r="AW1" s="254"/>
      <c r="AX1" s="254"/>
    </row>
    <row r="2" spans="1:60" ht="21" hidden="1" customHeight="1">
      <c r="A2" s="1242"/>
      <c r="B2" s="1242"/>
      <c r="C2" s="1242"/>
      <c r="D2" s="1242"/>
      <c r="E2" s="2221">
        <v>1</v>
      </c>
      <c r="F2" s="1242"/>
      <c r="G2" s="1242"/>
      <c r="H2" s="1242"/>
      <c r="I2" s="1242"/>
      <c r="J2" s="1242"/>
      <c r="K2" s="1242"/>
      <c r="L2" s="1243"/>
      <c r="M2" s="1244"/>
      <c r="N2" s="1244"/>
      <c r="O2" s="1244"/>
      <c r="P2" s="1277"/>
      <c r="Q2" s="770"/>
      <c r="R2" s="279"/>
      <c r="S2" s="1327" t="e">
        <f>INDEX(PT_DIFFERENTIATION_NUM_NTAR,MATCH(A2,PT_DIFFERENTIATION_NTAR_ID,0))</f>
        <v>#N/A</v>
      </c>
      <c r="T2" s="216" t="s">
        <v>124</v>
      </c>
      <c r="U2" s="218"/>
      <c r="V2" s="2216"/>
      <c r="W2" s="2216"/>
      <c r="X2" s="2216"/>
      <c r="Y2" s="2216"/>
      <c r="Z2" s="2216"/>
      <c r="AA2" s="2216"/>
      <c r="AB2" s="2216"/>
      <c r="AC2" s="2217"/>
      <c r="AD2" s="2215" t="e">
        <f>INDEX(PT_DIFFERENTIATION_NTAR,MATCH(A2,PT_DIFFERENTIATION_NTAR_ID,0))</f>
        <v>#N/A</v>
      </c>
      <c r="AE2" s="2216"/>
      <c r="AF2" s="2216"/>
      <c r="AG2" s="2216"/>
      <c r="AH2" s="2216"/>
      <c r="AI2" s="2216"/>
      <c r="AJ2" s="2216"/>
      <c r="AK2" s="2216"/>
      <c r="AL2" s="2216"/>
      <c r="AM2" s="2216"/>
      <c r="AN2" s="2216"/>
      <c r="AO2" s="2216"/>
      <c r="AP2" s="2216"/>
      <c r="AQ2" s="2216"/>
      <c r="AR2" s="2216"/>
      <c r="AS2" s="2216"/>
      <c r="AT2" s="2216"/>
      <c r="AU2" s="2216"/>
      <c r="AV2" s="2216"/>
      <c r="AW2" s="2216"/>
      <c r="AX2" s="2216"/>
      <c r="AY2" s="2216"/>
      <c r="AZ2" s="2216"/>
      <c r="BA2" s="2216"/>
      <c r="BB2" s="2217"/>
      <c r="BC2" s="1138"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BE2" s="428"/>
      <c r="BF2" s="428" t="str">
        <f t="shared" ref="BF2:BF8" si="0">IF(T2="","",T2)</f>
        <v>Наименование тарифа</v>
      </c>
      <c r="BG2" s="428"/>
      <c r="BH2" s="428"/>
    </row>
    <row r="3" spans="1:60" ht="21" hidden="1" customHeight="1">
      <c r="A3" s="1242"/>
      <c r="B3" s="1242"/>
      <c r="C3" s="1242"/>
      <c r="D3" s="1242"/>
      <c r="E3" s="2222"/>
      <c r="F3" s="2221">
        <v>1</v>
      </c>
      <c r="G3" s="1242"/>
      <c r="H3" s="1242"/>
      <c r="I3" s="1242"/>
      <c r="J3" s="1242"/>
      <c r="K3" s="1242"/>
      <c r="L3" s="1243"/>
      <c r="M3" s="1244"/>
      <c r="N3" s="1244"/>
      <c r="O3" s="1244"/>
      <c r="P3" s="1278"/>
      <c r="Q3" s="1279"/>
      <c r="R3" s="277"/>
      <c r="S3" s="1327" t="e">
        <f>INDEX(PT_DIFFERENTIATION_NUM_TER,MATCH(B3,PT_DIFFERENTIATION_TER_ID,0))</f>
        <v>#N/A</v>
      </c>
      <c r="T3" s="228" t="s">
        <v>1463</v>
      </c>
      <c r="U3" s="218"/>
      <c r="V3" s="2216"/>
      <c r="W3" s="2216"/>
      <c r="X3" s="2216"/>
      <c r="Y3" s="2216"/>
      <c r="Z3" s="2216"/>
      <c r="AA3" s="2216"/>
      <c r="AB3" s="2216"/>
      <c r="AC3" s="2217"/>
      <c r="AD3" s="2215" t="e">
        <f>INDEX(PT_DIFFERENTIATION_TER,MATCH(B3,PT_DIFFERENTIATION_TER_ID,0))</f>
        <v>#N/A</v>
      </c>
      <c r="AE3" s="2216"/>
      <c r="AF3" s="2216"/>
      <c r="AG3" s="2216"/>
      <c r="AH3" s="2216"/>
      <c r="AI3" s="2216"/>
      <c r="AJ3" s="2216"/>
      <c r="AK3" s="2216"/>
      <c r="AL3" s="2216"/>
      <c r="AM3" s="2216"/>
      <c r="AN3" s="2216"/>
      <c r="AO3" s="2216"/>
      <c r="AP3" s="2216"/>
      <c r="AQ3" s="2216"/>
      <c r="AR3" s="2216"/>
      <c r="AS3" s="2216"/>
      <c r="AT3" s="2216"/>
      <c r="AU3" s="2216"/>
      <c r="AV3" s="2216"/>
      <c r="AW3" s="2216"/>
      <c r="AX3" s="2216"/>
      <c r="AY3" s="2216"/>
      <c r="AZ3" s="2216"/>
      <c r="BA3" s="2216"/>
      <c r="BB3" s="2217"/>
      <c r="BC3" s="1138" t="s">
        <v>1464</v>
      </c>
      <c r="BE3" s="428"/>
      <c r="BF3" s="428" t="str">
        <f t="shared" si="0"/>
        <v>Территория действия тарифа</v>
      </c>
      <c r="BG3" s="428"/>
      <c r="BH3" s="428"/>
    </row>
    <row r="4" spans="1:60" ht="42" hidden="1" customHeight="1">
      <c r="A4" s="1242"/>
      <c r="B4" s="1242"/>
      <c r="C4" s="1242"/>
      <c r="D4" s="1242"/>
      <c r="E4" s="2222"/>
      <c r="F4" s="2222"/>
      <c r="G4" s="2221">
        <v>1</v>
      </c>
      <c r="H4" s="1242"/>
      <c r="I4" s="1242"/>
      <c r="J4" s="1242"/>
      <c r="K4" s="1242"/>
      <c r="L4" s="1243"/>
      <c r="M4" s="1244"/>
      <c r="N4" s="1244"/>
      <c r="O4" s="1244"/>
      <c r="P4" s="1280"/>
      <c r="Q4" s="1279"/>
      <c r="R4" s="277"/>
      <c r="S4" s="1327" t="e">
        <f>INDEX(PT_DIFFERENTIATION_NUM_CS,MATCH(C4,PT_DIFFERENTIATION_CS_ID,0))</f>
        <v>#N/A</v>
      </c>
      <c r="T4" s="229" t="s">
        <v>1678</v>
      </c>
      <c r="U4" s="218"/>
      <c r="V4" s="2216"/>
      <c r="W4" s="2216"/>
      <c r="X4" s="2216"/>
      <c r="Y4" s="2216"/>
      <c r="Z4" s="2216"/>
      <c r="AA4" s="2216"/>
      <c r="AB4" s="2216"/>
      <c r="AC4" s="2217"/>
      <c r="AD4" s="2215" t="e">
        <f>INDEX(PT_DIFFERENTIATION_CS,MATCH(C4,PT_DIFFERENTIATION_CS_ID,0))</f>
        <v>#N/A</v>
      </c>
      <c r="AE4" s="2216"/>
      <c r="AF4" s="2216"/>
      <c r="AG4" s="2216"/>
      <c r="AH4" s="2216"/>
      <c r="AI4" s="2216"/>
      <c r="AJ4" s="2216"/>
      <c r="AK4" s="2216"/>
      <c r="AL4" s="2216"/>
      <c r="AM4" s="2216"/>
      <c r="AN4" s="2216"/>
      <c r="AO4" s="2216"/>
      <c r="AP4" s="2216"/>
      <c r="AQ4" s="2216"/>
      <c r="AR4" s="2216"/>
      <c r="AS4" s="2216"/>
      <c r="AT4" s="2216"/>
      <c r="AU4" s="2216"/>
      <c r="AV4" s="2216"/>
      <c r="AW4" s="2216"/>
      <c r="AX4" s="2216"/>
      <c r="AY4" s="2216"/>
      <c r="AZ4" s="2216"/>
      <c r="BA4" s="2216"/>
      <c r="BB4" s="2217"/>
      <c r="BC4" s="1138" t="s">
        <v>1679</v>
      </c>
      <c r="BE4" s="428"/>
      <c r="BF4" s="428" t="str">
        <f t="shared" si="0"/>
        <v>Наименование централизованной системы холодного водоснабжения</v>
      </c>
      <c r="BG4" s="428"/>
      <c r="BH4" s="428"/>
    </row>
    <row r="5" spans="1:60" s="1755" customFormat="1" ht="14.25" hidden="1" customHeight="1">
      <c r="A5" s="1226"/>
      <c r="B5" s="1226"/>
      <c r="C5" s="1226"/>
      <c r="D5" s="1226"/>
      <c r="E5" s="2222"/>
      <c r="F5" s="2222"/>
      <c r="G5" s="2222"/>
      <c r="H5" s="2221">
        <v>1</v>
      </c>
      <c r="I5" s="1226"/>
      <c r="J5" s="1226"/>
      <c r="K5" s="1226"/>
      <c r="L5" s="1229"/>
      <c r="M5" s="1199"/>
      <c r="N5" s="1199"/>
      <c r="O5" s="1199"/>
      <c r="P5" s="1356"/>
      <c r="Q5" s="1357"/>
      <c r="R5" s="281"/>
      <c r="S5" s="932"/>
      <c r="T5" s="1358"/>
      <c r="U5" s="1262"/>
      <c r="V5" s="2250"/>
      <c r="W5" s="2250"/>
      <c r="X5" s="2250"/>
      <c r="Y5" s="2250"/>
      <c r="Z5" s="2250"/>
      <c r="AA5" s="2250"/>
      <c r="AB5" s="2250"/>
      <c r="AC5" s="2251"/>
      <c r="AD5" s="2249"/>
      <c r="AE5" s="2250"/>
      <c r="AF5" s="2250"/>
      <c r="AG5" s="2250"/>
      <c r="AH5" s="2250"/>
      <c r="AI5" s="2250"/>
      <c r="AJ5" s="2250"/>
      <c r="AK5" s="2250"/>
      <c r="AL5" s="2250"/>
      <c r="AM5" s="2250"/>
      <c r="AN5" s="2250"/>
      <c r="AO5" s="2250"/>
      <c r="AP5" s="2250"/>
      <c r="AQ5" s="2250"/>
      <c r="AR5" s="2250"/>
      <c r="AS5" s="2250"/>
      <c r="AT5" s="2250"/>
      <c r="AU5" s="2250"/>
      <c r="AV5" s="2250"/>
      <c r="AW5" s="2250"/>
      <c r="AX5" s="2250"/>
      <c r="AY5" s="2250"/>
      <c r="AZ5" s="2250"/>
      <c r="BA5" s="2250"/>
      <c r="BB5" s="2251"/>
      <c r="BC5" s="1263" t="s">
        <v>1468</v>
      </c>
      <c r="BE5" s="428"/>
      <c r="BF5" s="428" t="str">
        <f t="shared" si="0"/>
        <v/>
      </c>
      <c r="BG5" s="428"/>
      <c r="BH5" s="428"/>
    </row>
    <row r="6" spans="1:60" s="1755" customFormat="1" ht="14.25" hidden="1" customHeight="1">
      <c r="A6" s="1226"/>
      <c r="B6" s="1226"/>
      <c r="C6" s="1226"/>
      <c r="D6" s="1226"/>
      <c r="E6" s="2222"/>
      <c r="F6" s="2222"/>
      <c r="G6" s="2222"/>
      <c r="H6" s="2222"/>
      <c r="I6" s="2223" t="str">
        <f>S5&amp;".1"</f>
        <v>.1</v>
      </c>
      <c r="J6" s="1226"/>
      <c r="K6" s="1226"/>
      <c r="L6" s="1229" t="s">
        <v>1469</v>
      </c>
      <c r="M6" s="438"/>
      <c r="N6" s="438"/>
      <c r="O6" s="438"/>
      <c r="P6" s="2143">
        <v>1</v>
      </c>
      <c r="Q6" s="1324"/>
      <c r="R6" s="280"/>
      <c r="S6" s="932"/>
      <c r="T6" s="1261"/>
      <c r="U6" s="1262"/>
      <c r="V6" s="2250"/>
      <c r="W6" s="2250"/>
      <c r="X6" s="2250"/>
      <c r="Y6" s="2250"/>
      <c r="Z6" s="2250"/>
      <c r="AA6" s="2250"/>
      <c r="AB6" s="2250"/>
      <c r="AC6" s="2251"/>
      <c r="AD6" s="2249"/>
      <c r="AE6" s="2250"/>
      <c r="AF6" s="2250"/>
      <c r="AG6" s="2250"/>
      <c r="AH6" s="2250"/>
      <c r="AI6" s="2250"/>
      <c r="AJ6" s="2250"/>
      <c r="AK6" s="2250"/>
      <c r="AL6" s="2250"/>
      <c r="AM6" s="2250"/>
      <c r="AN6" s="2250"/>
      <c r="AO6" s="2250"/>
      <c r="AP6" s="2250"/>
      <c r="AQ6" s="2250"/>
      <c r="AR6" s="2250"/>
      <c r="AS6" s="2250"/>
      <c r="AT6" s="2250"/>
      <c r="AU6" s="2250"/>
      <c r="AV6" s="2250"/>
      <c r="AW6" s="2250"/>
      <c r="AX6" s="2250"/>
      <c r="AY6" s="2250"/>
      <c r="AZ6" s="2250"/>
      <c r="BA6" s="2250"/>
      <c r="BB6" s="2251"/>
      <c r="BC6" s="1263"/>
      <c r="BE6" s="428"/>
      <c r="BF6" s="428" t="str">
        <f t="shared" si="0"/>
        <v/>
      </c>
      <c r="BG6" s="428"/>
      <c r="BH6" s="428"/>
    </row>
    <row r="7" spans="1:60" s="1755" customFormat="1" ht="14.25" hidden="1" customHeight="1">
      <c r="A7" s="1226"/>
      <c r="B7" s="1226"/>
      <c r="C7" s="1226"/>
      <c r="D7" s="1226"/>
      <c r="E7" s="2222"/>
      <c r="F7" s="2222"/>
      <c r="G7" s="2222"/>
      <c r="H7" s="2222"/>
      <c r="I7" s="2224"/>
      <c r="J7" s="2223" t="str">
        <f>S5&amp;".1"</f>
        <v>.1</v>
      </c>
      <c r="K7" s="1226"/>
      <c r="L7" s="1229"/>
      <c r="M7" s="438"/>
      <c r="N7" s="438"/>
      <c r="O7" s="438"/>
      <c r="P7" s="2143"/>
      <c r="Q7" s="2143">
        <v>1</v>
      </c>
      <c r="R7" s="281"/>
      <c r="S7" s="932"/>
      <c r="T7" s="1271"/>
      <c r="U7" s="1262"/>
      <c r="V7" s="2250"/>
      <c r="W7" s="2250"/>
      <c r="X7" s="2250"/>
      <c r="Y7" s="2250"/>
      <c r="Z7" s="2250"/>
      <c r="AA7" s="2250"/>
      <c r="AB7" s="2250"/>
      <c r="AC7" s="2251"/>
      <c r="AD7" s="2249"/>
      <c r="AE7" s="2250"/>
      <c r="AF7" s="2250"/>
      <c r="AG7" s="2250"/>
      <c r="AH7" s="2250"/>
      <c r="AI7" s="2250"/>
      <c r="AJ7" s="2250"/>
      <c r="AK7" s="2250"/>
      <c r="AL7" s="2250"/>
      <c r="AM7" s="2250"/>
      <c r="AN7" s="2250"/>
      <c r="AO7" s="2250"/>
      <c r="AP7" s="2250"/>
      <c r="AQ7" s="2250"/>
      <c r="AR7" s="2250"/>
      <c r="AS7" s="2250"/>
      <c r="AT7" s="2250"/>
      <c r="AU7" s="2250"/>
      <c r="AV7" s="2250"/>
      <c r="AW7" s="2250"/>
      <c r="AX7" s="2250"/>
      <c r="AY7" s="2250"/>
      <c r="AZ7" s="2250"/>
      <c r="BA7" s="2250"/>
      <c r="BB7" s="2251"/>
      <c r="BC7" s="1263"/>
      <c r="BE7" s="428"/>
      <c r="BF7" s="428" t="str">
        <f t="shared" si="0"/>
        <v/>
      </c>
      <c r="BG7" s="428"/>
      <c r="BH7" s="428"/>
    </row>
    <row r="8" spans="1:60" ht="11.25" hidden="1" customHeight="1">
      <c r="A8" s="1242"/>
      <c r="B8" s="1242"/>
      <c r="C8" s="1242"/>
      <c r="D8" s="1242"/>
      <c r="E8" s="2222"/>
      <c r="F8" s="2222"/>
      <c r="G8" s="2222"/>
      <c r="H8" s="2222"/>
      <c r="I8" s="2224"/>
      <c r="J8" s="2224"/>
      <c r="K8" s="2223" t="e">
        <f>S4&amp;".1"</f>
        <v>#N/A</v>
      </c>
      <c r="L8" s="1243"/>
      <c r="P8" s="2143"/>
      <c r="Q8" s="2143"/>
      <c r="R8" s="2275">
        <v>1</v>
      </c>
      <c r="S8" s="2272" t="e">
        <f>$K8</f>
        <v>#N/A</v>
      </c>
      <c r="T8" s="2322"/>
      <c r="U8" s="218"/>
      <c r="V8" s="1664"/>
      <c r="W8" s="1666"/>
      <c r="X8" s="1664"/>
      <c r="Y8" s="1666"/>
      <c r="Z8" s="1591"/>
      <c r="AA8" s="1322" t="s">
        <v>62</v>
      </c>
      <c r="AB8" s="1591"/>
      <c r="AC8" s="1322" t="s">
        <v>62</v>
      </c>
      <c r="AD8" s="2079" t="s">
        <v>62</v>
      </c>
      <c r="AE8" s="2268"/>
      <c r="AF8" s="2267">
        <v>1</v>
      </c>
      <c r="AG8" s="2321"/>
      <c r="AH8" s="2017" t="s">
        <v>62</v>
      </c>
      <c r="AI8" s="2268"/>
      <c r="AJ8" s="2267">
        <v>1</v>
      </c>
      <c r="AK8" s="2320" t="s">
        <v>17</v>
      </c>
      <c r="AL8" s="2017" t="s">
        <v>62</v>
      </c>
      <c r="AM8" s="2067"/>
      <c r="AN8" s="2267">
        <v>1</v>
      </c>
      <c r="AO8" s="2325"/>
      <c r="AP8" s="2326" t="s">
        <v>62</v>
      </c>
      <c r="AQ8" s="231"/>
      <c r="AR8" s="1325">
        <v>1</v>
      </c>
      <c r="AS8" s="1328" t="s">
        <v>17</v>
      </c>
      <c r="AT8" s="1664"/>
      <c r="AU8" s="1666"/>
      <c r="AV8" s="1664"/>
      <c r="AW8" s="1666"/>
      <c r="AX8" s="1591"/>
      <c r="AY8" s="1322" t="s">
        <v>62</v>
      </c>
      <c r="AZ8" s="1591"/>
      <c r="BA8" s="1322" t="s">
        <v>62</v>
      </c>
      <c r="BB8" s="1672"/>
      <c r="BC8" s="2243" t="s">
        <v>1698</v>
      </c>
      <c r="BE8" s="428"/>
      <c r="BF8" s="428" t="str">
        <f t="shared" si="0"/>
        <v/>
      </c>
      <c r="BG8" s="428"/>
      <c r="BH8" s="428"/>
    </row>
    <row r="9" spans="1:60" ht="11.25" hidden="1" customHeight="1">
      <c r="A9" s="1242"/>
      <c r="B9" s="1242"/>
      <c r="C9" s="1242"/>
      <c r="D9" s="1242"/>
      <c r="E9" s="2222"/>
      <c r="F9" s="2222"/>
      <c r="G9" s="2222"/>
      <c r="H9" s="2222"/>
      <c r="I9" s="2224"/>
      <c r="J9" s="2224"/>
      <c r="K9" s="2223"/>
      <c r="L9" s="1243"/>
      <c r="P9" s="2143"/>
      <c r="Q9" s="2143"/>
      <c r="R9" s="2275"/>
      <c r="S9" s="2273"/>
      <c r="T9" s="2323"/>
      <c r="U9" s="218"/>
      <c r="V9" s="1680"/>
      <c r="W9" s="1686"/>
      <c r="X9" s="1680"/>
      <c r="Y9" s="1686"/>
      <c r="Z9" s="1680"/>
      <c r="AA9" s="1680"/>
      <c r="AB9" s="1680"/>
      <c r="AC9" s="1680"/>
      <c r="AD9" s="2080"/>
      <c r="AE9" s="2268"/>
      <c r="AF9" s="2267"/>
      <c r="AG9" s="2321"/>
      <c r="AH9" s="2017"/>
      <c r="AI9" s="2268"/>
      <c r="AJ9" s="2267"/>
      <c r="AK9" s="2320"/>
      <c r="AL9" s="2017"/>
      <c r="AM9" s="2072"/>
      <c r="AN9" s="2267"/>
      <c r="AO9" s="2325"/>
      <c r="AP9" s="2327"/>
      <c r="AQ9" s="238"/>
      <c r="AR9" s="351"/>
      <c r="AS9" s="351" t="s">
        <v>1699</v>
      </c>
      <c r="AT9" s="1680"/>
      <c r="AU9" s="1686"/>
      <c r="AV9" s="1680"/>
      <c r="AW9" s="1686"/>
      <c r="AX9" s="1680"/>
      <c r="AY9" s="1680"/>
      <c r="AZ9" s="1680"/>
      <c r="BA9" s="1680"/>
      <c r="BB9" s="1685"/>
      <c r="BC9" s="2244"/>
      <c r="BE9" s="428"/>
      <c r="BF9" s="428"/>
      <c r="BG9" s="428"/>
      <c r="BH9" s="428"/>
    </row>
    <row r="10" spans="1:60" ht="11.25" hidden="1" customHeight="1">
      <c r="A10" s="1242"/>
      <c r="B10" s="1242"/>
      <c r="C10" s="1242"/>
      <c r="D10" s="1242"/>
      <c r="E10" s="2222"/>
      <c r="F10" s="2222"/>
      <c r="G10" s="2222"/>
      <c r="H10" s="2222"/>
      <c r="I10" s="2224"/>
      <c r="J10" s="2224"/>
      <c r="K10" s="2223"/>
      <c r="L10" s="1243"/>
      <c r="P10" s="2143"/>
      <c r="Q10" s="2143"/>
      <c r="R10" s="2275"/>
      <c r="S10" s="2273"/>
      <c r="T10" s="2323"/>
      <c r="U10" s="218"/>
      <c r="V10" s="1680"/>
      <c r="W10" s="1686"/>
      <c r="X10" s="1680"/>
      <c r="Y10" s="1686"/>
      <c r="Z10" s="1680"/>
      <c r="AA10" s="1680"/>
      <c r="AB10" s="1680"/>
      <c r="AC10" s="1680"/>
      <c r="AD10" s="2080"/>
      <c r="AE10" s="2268"/>
      <c r="AF10" s="2267"/>
      <c r="AG10" s="2321"/>
      <c r="AH10" s="2017"/>
      <c r="AI10" s="2268"/>
      <c r="AJ10" s="2267"/>
      <c r="AK10" s="2320"/>
      <c r="AL10" s="2017"/>
      <c r="AM10" s="238"/>
      <c r="AN10" s="1359"/>
      <c r="AO10" s="1359" t="s">
        <v>1700</v>
      </c>
      <c r="AP10" s="351"/>
      <c r="AQ10" s="351"/>
      <c r="AR10" s="351"/>
      <c r="AS10" s="1680"/>
      <c r="AT10" s="1680"/>
      <c r="AU10" s="1686"/>
      <c r="AV10" s="1680"/>
      <c r="AW10" s="1686"/>
      <c r="AX10" s="1680"/>
      <c r="AY10" s="1680"/>
      <c r="AZ10" s="1680"/>
      <c r="BA10" s="1680"/>
      <c r="BB10" s="1685"/>
      <c r="BC10" s="2244"/>
      <c r="BE10" s="428"/>
      <c r="BF10" s="428"/>
      <c r="BG10" s="428"/>
      <c r="BH10" s="428"/>
    </row>
    <row r="11" spans="1:60" ht="11.25" hidden="1" customHeight="1">
      <c r="A11" s="1242"/>
      <c r="B11" s="1242"/>
      <c r="C11" s="1242"/>
      <c r="D11" s="1242"/>
      <c r="E11" s="2222"/>
      <c r="F11" s="2222"/>
      <c r="G11" s="2222"/>
      <c r="H11" s="2222"/>
      <c r="I11" s="2224"/>
      <c r="J11" s="2224"/>
      <c r="K11" s="2223"/>
      <c r="L11" s="1243"/>
      <c r="P11" s="2143"/>
      <c r="Q11" s="2143"/>
      <c r="R11" s="2275"/>
      <c r="S11" s="2273"/>
      <c r="T11" s="2323"/>
      <c r="U11" s="218"/>
      <c r="V11" s="1680"/>
      <c r="W11" s="1686"/>
      <c r="X11" s="1680"/>
      <c r="Y11" s="1686"/>
      <c r="Z11" s="1680"/>
      <c r="AA11" s="1680"/>
      <c r="AB11" s="1680"/>
      <c r="AC11" s="1680"/>
      <c r="AD11" s="2080"/>
      <c r="AE11" s="2268"/>
      <c r="AF11" s="2267"/>
      <c r="AG11" s="2321"/>
      <c r="AH11" s="2017"/>
      <c r="AI11" s="212"/>
      <c r="AJ11" s="350"/>
      <c r="AK11" s="233" t="s">
        <v>1701</v>
      </c>
      <c r="AL11" s="1680"/>
      <c r="AM11" s="1680"/>
      <c r="AN11" s="1680"/>
      <c r="AO11" s="1680"/>
      <c r="AP11" s="1680"/>
      <c r="AQ11" s="1680"/>
      <c r="AR11" s="1680"/>
      <c r="AS11" s="1680"/>
      <c r="AT11" s="1680"/>
      <c r="AU11" s="1686"/>
      <c r="AV11" s="1680"/>
      <c r="AW11" s="1686"/>
      <c r="AX11" s="1680"/>
      <c r="AY11" s="1680"/>
      <c r="AZ11" s="1680"/>
      <c r="BA11" s="1680"/>
      <c r="BB11" s="1685"/>
      <c r="BC11" s="2244"/>
      <c r="BE11" s="428"/>
      <c r="BF11" s="428"/>
      <c r="BG11" s="428"/>
      <c r="BH11" s="428"/>
    </row>
    <row r="12" spans="1:60" ht="11.25" hidden="1" customHeight="1">
      <c r="A12" s="1242"/>
      <c r="B12" s="1242"/>
      <c r="C12" s="1242"/>
      <c r="D12" s="1242"/>
      <c r="E12" s="2222"/>
      <c r="F12" s="2222"/>
      <c r="G12" s="2222"/>
      <c r="H12" s="2222"/>
      <c r="I12" s="2224"/>
      <c r="J12" s="2224"/>
      <c r="K12" s="2223"/>
      <c r="L12" s="1243"/>
      <c r="P12" s="2143"/>
      <c r="Q12" s="2143"/>
      <c r="R12" s="2275"/>
      <c r="S12" s="2274"/>
      <c r="T12" s="2324"/>
      <c r="U12" s="218"/>
      <c r="V12" s="1680"/>
      <c r="W12" s="1681" t="str">
        <f>Z8&amp;"-"&amp;AB8</f>
        <v>-</v>
      </c>
      <c r="X12" s="1680"/>
      <c r="Y12" s="1681" t="str">
        <f>AB8&amp;"-"&amp;AD8</f>
        <v>-да</v>
      </c>
      <c r="Z12" s="1680"/>
      <c r="AA12" s="1680"/>
      <c r="AB12" s="1680"/>
      <c r="AC12" s="1680"/>
      <c r="AD12" s="2022"/>
      <c r="AE12" s="232"/>
      <c r="AF12" s="234"/>
      <c r="AG12" s="351" t="s">
        <v>1702</v>
      </c>
      <c r="AH12" s="1680"/>
      <c r="AI12" s="1680"/>
      <c r="AJ12" s="1680"/>
      <c r="AK12" s="1680"/>
      <c r="AL12" s="1680"/>
      <c r="AM12" s="1680"/>
      <c r="AN12" s="1680"/>
      <c r="AO12" s="1680"/>
      <c r="AP12" s="1680"/>
      <c r="AQ12" s="1680"/>
      <c r="AR12" s="1680"/>
      <c r="AS12" s="1680"/>
      <c r="AT12" s="1680"/>
      <c r="AU12" s="1681" t="str">
        <f>AX8&amp;"-"&amp;AZ8</f>
        <v>-</v>
      </c>
      <c r="AV12" s="1680"/>
      <c r="AW12" s="1681" t="str">
        <f>AZ8&amp;"-"&amp;BB8</f>
        <v>-</v>
      </c>
      <c r="AX12" s="1680"/>
      <c r="AY12" s="1680"/>
      <c r="AZ12" s="1680"/>
      <c r="BA12" s="1680"/>
      <c r="BB12" s="1688" t="str">
        <f>BE8&amp;"-"&amp;BG8</f>
        <v>-</v>
      </c>
      <c r="BC12" s="2244"/>
      <c r="BE12" s="428"/>
      <c r="BF12" s="428" t="str">
        <f t="shared" ref="BF12:BF18" si="1">IF(T12="","",T12)</f>
        <v/>
      </c>
      <c r="BG12" s="428"/>
      <c r="BH12" s="428"/>
    </row>
    <row r="13" spans="1:60" ht="11.25" hidden="1" customHeight="1">
      <c r="A13" s="1242"/>
      <c r="B13" s="1242"/>
      <c r="C13" s="1242"/>
      <c r="D13" s="1242"/>
      <c r="E13" s="2222"/>
      <c r="F13" s="2222"/>
      <c r="G13" s="2222"/>
      <c r="H13" s="2222"/>
      <c r="I13" s="2224"/>
      <c r="J13" s="2223"/>
      <c r="K13" s="1242"/>
      <c r="L13" s="1243"/>
      <c r="P13" s="2143"/>
      <c r="Q13" s="2143"/>
      <c r="R13" s="280"/>
      <c r="S13" s="1159"/>
      <c r="T13" s="205" t="s">
        <v>1543</v>
      </c>
      <c r="U13" s="294"/>
      <c r="V13" s="294"/>
      <c r="W13" s="294"/>
      <c r="X13" s="294"/>
      <c r="Y13" s="294"/>
      <c r="Z13" s="294"/>
      <c r="AA13" s="294"/>
      <c r="AB13" s="294"/>
      <c r="AC13" s="294"/>
      <c r="AD13" s="1364"/>
      <c r="AE13" s="294"/>
      <c r="AF13" s="294"/>
      <c r="AG13" s="294"/>
      <c r="AH13" s="294"/>
      <c r="AI13" s="294"/>
      <c r="AJ13" s="294"/>
      <c r="AK13" s="294"/>
      <c r="AL13" s="294"/>
      <c r="AM13" s="294"/>
      <c r="AN13" s="294"/>
      <c r="AO13" s="294"/>
      <c r="AP13" s="294"/>
      <c r="AQ13" s="294"/>
      <c r="AR13" s="294"/>
      <c r="AS13" s="294"/>
      <c r="AT13" s="294"/>
      <c r="AU13" s="294"/>
      <c r="AV13" s="294"/>
      <c r="AW13" s="294"/>
      <c r="AX13" s="294"/>
      <c r="AY13" s="294"/>
      <c r="AZ13" s="294"/>
      <c r="BA13" s="294"/>
      <c r="BB13" s="251"/>
      <c r="BC13" s="2245"/>
      <c r="BE13" s="428"/>
      <c r="BF13" s="428" t="str">
        <f t="shared" si="1"/>
        <v>Добавить строку</v>
      </c>
      <c r="BG13" s="428"/>
      <c r="BH13" s="428"/>
    </row>
    <row r="14" spans="1:60" s="1755" customFormat="1" ht="14.25" hidden="1" customHeight="1">
      <c r="A14" s="1226"/>
      <c r="B14" s="1226"/>
      <c r="C14" s="1226"/>
      <c r="D14" s="1226"/>
      <c r="E14" s="2222"/>
      <c r="F14" s="2222"/>
      <c r="G14" s="2222"/>
      <c r="H14" s="2222"/>
      <c r="I14" s="2223"/>
      <c r="J14" s="1226"/>
      <c r="K14" s="1226"/>
      <c r="L14" s="1229"/>
      <c r="M14" s="438"/>
      <c r="N14" s="438"/>
      <c r="O14" s="438"/>
      <c r="P14" s="2143"/>
      <c r="Q14" s="1324"/>
      <c r="R14" s="280"/>
      <c r="S14" s="1264"/>
      <c r="T14" s="1265"/>
      <c r="U14" s="1266"/>
      <c r="V14" s="1266"/>
      <c r="W14" s="1266"/>
      <c r="X14" s="1266"/>
      <c r="Y14" s="1266"/>
      <c r="Z14" s="1266"/>
      <c r="AA14" s="1266"/>
      <c r="AB14" s="1266"/>
      <c r="AC14" s="1266"/>
      <c r="AD14" s="1266"/>
      <c r="AE14" s="1266"/>
      <c r="AF14" s="1266"/>
      <c r="AG14" s="1266"/>
      <c r="AH14" s="1266"/>
      <c r="AI14" s="1266"/>
      <c r="AJ14" s="1266"/>
      <c r="AK14" s="1266"/>
      <c r="AL14" s="1266"/>
      <c r="AM14" s="1266"/>
      <c r="AN14" s="1266"/>
      <c r="AO14" s="1266"/>
      <c r="AP14" s="1266"/>
      <c r="AQ14" s="1266"/>
      <c r="AR14" s="1266"/>
      <c r="AS14" s="1266"/>
      <c r="AT14" s="1266"/>
      <c r="AU14" s="1266"/>
      <c r="AV14" s="1266"/>
      <c r="AW14" s="1266"/>
      <c r="AX14" s="1266"/>
      <c r="AY14" s="1266"/>
      <c r="AZ14" s="1266"/>
      <c r="BA14" s="1266"/>
      <c r="BB14" s="1266"/>
      <c r="BC14" s="1267"/>
      <c r="BE14" s="428"/>
      <c r="BF14" s="428" t="str">
        <f t="shared" si="1"/>
        <v/>
      </c>
      <c r="BG14" s="428"/>
      <c r="BH14" s="428"/>
    </row>
    <row r="15" spans="1:60" s="1755" customFormat="1" ht="14.25" hidden="1" customHeight="1">
      <c r="A15" s="1226"/>
      <c r="B15" s="1226"/>
      <c r="C15" s="1226"/>
      <c r="D15" s="1226"/>
      <c r="E15" s="2222"/>
      <c r="F15" s="2222"/>
      <c r="G15" s="2222"/>
      <c r="H15" s="2221"/>
      <c r="I15" s="1226"/>
      <c r="J15" s="1226"/>
      <c r="K15" s="1226"/>
      <c r="L15" s="1229"/>
      <c r="M15" s="1199"/>
      <c r="N15" s="1199"/>
      <c r="O15" s="446"/>
      <c r="P15" s="311"/>
      <c r="Q15" s="1227"/>
      <c r="R15" s="1273"/>
      <c r="S15" s="1264"/>
      <c r="T15" s="1265"/>
      <c r="U15" s="1266"/>
      <c r="V15" s="1266"/>
      <c r="W15" s="1266"/>
      <c r="X15" s="1266"/>
      <c r="Y15" s="1266"/>
      <c r="Z15" s="1266"/>
      <c r="AA15" s="1266"/>
      <c r="AB15" s="1266"/>
      <c r="AC15" s="1266"/>
      <c r="AD15" s="1266"/>
      <c r="AE15" s="1266"/>
      <c r="AF15" s="1266"/>
      <c r="AG15" s="1266"/>
      <c r="AH15" s="1266"/>
      <c r="AI15" s="1266"/>
      <c r="AJ15" s="1266"/>
      <c r="AK15" s="1266"/>
      <c r="AL15" s="1266"/>
      <c r="AM15" s="1266"/>
      <c r="AN15" s="1266"/>
      <c r="AO15" s="1266"/>
      <c r="AP15" s="1266"/>
      <c r="AQ15" s="1266"/>
      <c r="AR15" s="1266"/>
      <c r="AS15" s="1266"/>
      <c r="AT15" s="1266"/>
      <c r="AU15" s="1266"/>
      <c r="AV15" s="1266"/>
      <c r="AW15" s="1266"/>
      <c r="AX15" s="1266"/>
      <c r="AY15" s="1266"/>
      <c r="AZ15" s="1266"/>
      <c r="BA15" s="1266"/>
      <c r="BB15" s="1266"/>
      <c r="BC15" s="1267"/>
      <c r="BE15" s="428"/>
      <c r="BF15" s="428" t="str">
        <f t="shared" si="1"/>
        <v/>
      </c>
      <c r="BG15" s="428"/>
      <c r="BH15" s="428"/>
    </row>
    <row r="16" spans="1:60" s="1755" customFormat="1" ht="14.25" hidden="1" customHeight="1">
      <c r="A16" s="1226"/>
      <c r="B16" s="1226"/>
      <c r="C16" s="1226"/>
      <c r="D16" s="1198"/>
      <c r="E16" s="2222"/>
      <c r="F16" s="2222"/>
      <c r="G16" s="2221"/>
      <c r="H16" s="1198"/>
      <c r="I16" s="1198"/>
      <c r="J16" s="1198"/>
      <c r="K16" s="1198"/>
      <c r="L16" s="1326"/>
      <c r="M16" s="1199"/>
      <c r="N16" s="1199"/>
      <c r="P16" s="1200"/>
      <c r="Q16" s="1201"/>
      <c r="R16" s="1200"/>
      <c r="S16" s="1206"/>
      <c r="T16" s="1209"/>
      <c r="U16" s="1208"/>
      <c r="V16" s="1208"/>
      <c r="W16" s="1208"/>
      <c r="X16" s="1208"/>
      <c r="Y16" s="1208"/>
      <c r="Z16" s="1208"/>
      <c r="AA16" s="1208"/>
      <c r="AB16" s="1208"/>
      <c r="AC16" s="1208"/>
      <c r="AD16" s="1208"/>
      <c r="AE16" s="1208"/>
      <c r="AF16" s="1208"/>
      <c r="AG16" s="1208"/>
      <c r="AH16" s="1208"/>
      <c r="AI16" s="1208"/>
      <c r="AJ16" s="1208"/>
      <c r="AK16" s="1208"/>
      <c r="AL16" s="1208"/>
      <c r="AM16" s="1208"/>
      <c r="AN16" s="1208"/>
      <c r="AO16" s="1208"/>
      <c r="AP16" s="1208"/>
      <c r="AQ16" s="1208"/>
      <c r="AR16" s="1208"/>
      <c r="AS16" s="1208"/>
      <c r="AT16" s="1208"/>
      <c r="AU16" s="1208"/>
      <c r="AV16" s="1208"/>
      <c r="AW16" s="1208"/>
      <c r="AX16" s="1208"/>
      <c r="AY16" s="1208"/>
      <c r="AZ16" s="1208"/>
      <c r="BA16" s="1208"/>
      <c r="BB16" s="1208"/>
      <c r="BC16" s="1208"/>
      <c r="BE16" s="695"/>
      <c r="BF16" s="695" t="str">
        <f t="shared" si="1"/>
        <v/>
      </c>
      <c r="BG16" s="695"/>
      <c r="BH16" s="695"/>
    </row>
    <row r="17" spans="1:60" s="1755" customFormat="1" ht="14.25" hidden="1" customHeight="1">
      <c r="A17" s="1226"/>
      <c r="B17" s="1226"/>
      <c r="C17" s="1198"/>
      <c r="D17" s="1198"/>
      <c r="E17" s="2222"/>
      <c r="F17" s="2221"/>
      <c r="G17" s="1198"/>
      <c r="H17" s="1198"/>
      <c r="I17" s="1198"/>
      <c r="J17" s="1198"/>
      <c r="K17" s="1198"/>
      <c r="L17" s="1326"/>
      <c r="M17" s="1205"/>
      <c r="N17" s="1205"/>
      <c r="P17" s="1200"/>
      <c r="Q17" s="1201"/>
      <c r="R17" s="1200"/>
      <c r="S17" s="1206"/>
      <c r="T17" s="1209" t="s">
        <v>1439</v>
      </c>
      <c r="U17" s="1208"/>
      <c r="V17" s="1208"/>
      <c r="W17" s="1208"/>
      <c r="X17" s="1208"/>
      <c r="Y17" s="1208"/>
      <c r="Z17" s="1208"/>
      <c r="AA17" s="1208"/>
      <c r="AB17" s="1208"/>
      <c r="AC17" s="1208"/>
      <c r="AD17" s="1208"/>
      <c r="AE17" s="1208"/>
      <c r="AF17" s="1208"/>
      <c r="AG17" s="1208"/>
      <c r="AH17" s="1208"/>
      <c r="AI17" s="1208"/>
      <c r="AJ17" s="1208"/>
      <c r="AK17" s="1208"/>
      <c r="AL17" s="1208"/>
      <c r="AM17" s="1208"/>
      <c r="AN17" s="1208"/>
      <c r="AO17" s="1208"/>
      <c r="AP17" s="1208"/>
      <c r="AQ17" s="1208"/>
      <c r="AR17" s="1208"/>
      <c r="AS17" s="1208"/>
      <c r="AT17" s="1208"/>
      <c r="AU17" s="1208"/>
      <c r="AV17" s="1208"/>
      <c r="AW17" s="1208"/>
      <c r="AX17" s="1208"/>
      <c r="AY17" s="1208"/>
      <c r="AZ17" s="1208"/>
      <c r="BA17" s="1208"/>
      <c r="BB17" s="1208"/>
      <c r="BC17" s="1208"/>
      <c r="BE17" s="695"/>
      <c r="BF17" s="695" t="str">
        <f t="shared" si="1"/>
        <v>Добавить централизованную систему для дифференциации</v>
      </c>
      <c r="BG17" s="695"/>
      <c r="BH17" s="695"/>
    </row>
    <row r="18" spans="1:60" s="1755" customFormat="1" ht="14.25" hidden="1" customHeight="1">
      <c r="A18" s="1226"/>
      <c r="B18" s="1226"/>
      <c r="C18" s="1226"/>
      <c r="D18" s="1226"/>
      <c r="E18" s="2221"/>
      <c r="F18" s="1226"/>
      <c r="G18" s="1226"/>
      <c r="H18" s="1226"/>
      <c r="I18" s="1226"/>
      <c r="J18" s="1226"/>
      <c r="K18" s="1226"/>
      <c r="L18" s="1229"/>
      <c r="M18" s="1205"/>
      <c r="N18" s="1205"/>
      <c r="O18" s="446"/>
      <c r="P18" s="311"/>
      <c r="Q18" s="1227"/>
      <c r="R18" s="311"/>
      <c r="S18" s="1206"/>
      <c r="T18" s="1209" t="s">
        <v>1440</v>
      </c>
      <c r="U18" s="1208"/>
      <c r="V18" s="1208"/>
      <c r="W18" s="1208"/>
      <c r="X18" s="1208"/>
      <c r="Y18" s="1208"/>
      <c r="Z18" s="1208"/>
      <c r="AA18" s="1208"/>
      <c r="AB18" s="1208"/>
      <c r="AC18" s="1208"/>
      <c r="AD18" s="1208"/>
      <c r="AE18" s="1208"/>
      <c r="AF18" s="1208"/>
      <c r="AG18" s="1208"/>
      <c r="AH18" s="1208"/>
      <c r="AI18" s="1208"/>
      <c r="AJ18" s="1208"/>
      <c r="AK18" s="1208"/>
      <c r="AL18" s="1208"/>
      <c r="AM18" s="1208"/>
      <c r="AN18" s="1208"/>
      <c r="AO18" s="1208"/>
      <c r="AP18" s="1208"/>
      <c r="AQ18" s="1208"/>
      <c r="AR18" s="1208"/>
      <c r="AS18" s="1208"/>
      <c r="AT18" s="1208"/>
      <c r="AU18" s="1208"/>
      <c r="AV18" s="1208"/>
      <c r="AW18" s="1208"/>
      <c r="AX18" s="1208"/>
      <c r="AY18" s="1208"/>
      <c r="AZ18" s="1208"/>
      <c r="BA18" s="1208"/>
      <c r="BB18" s="1208"/>
      <c r="BC18" s="1208"/>
      <c r="BE18" s="428"/>
      <c r="BF18" s="428" t="str">
        <f t="shared" si="1"/>
        <v>Добавить территорию для дифференциации</v>
      </c>
      <c r="BG18" s="428"/>
      <c r="BH18" s="428"/>
    </row>
    <row r="19" spans="1:60" ht="14.25" hidden="1" customHeight="1">
      <c r="AC19" s="254"/>
      <c r="BA19" s="254"/>
    </row>
    <row r="20" spans="1:60" ht="14.25" hidden="1" customHeight="1">
      <c r="AD20" s="1208" t="s">
        <v>55</v>
      </c>
      <c r="AE20" s="1360"/>
      <c r="AF20" s="475">
        <v>1</v>
      </c>
      <c r="AG20" s="1361"/>
      <c r="AH20" s="1208" t="s">
        <v>55</v>
      </c>
      <c r="AI20" s="1360"/>
      <c r="AJ20" s="475">
        <v>1</v>
      </c>
      <c r="AK20" s="1361"/>
      <c r="AL20" s="1208" t="s">
        <v>55</v>
      </c>
      <c r="AM20" s="1362"/>
      <c r="AN20" s="475">
        <v>1</v>
      </c>
      <c r="AO20" s="1363"/>
      <c r="AP20" s="1208" t="s">
        <v>55</v>
      </c>
      <c r="AQ20" s="1362"/>
      <c r="AR20" s="475">
        <v>1</v>
      </c>
      <c r="AS20" s="1363"/>
      <c r="AT20" s="1665"/>
      <c r="AU20" s="1675"/>
      <c r="AV20" s="1665"/>
      <c r="AW20" s="1675"/>
      <c r="AX20" s="1593"/>
      <c r="AY20" s="1323" t="s">
        <v>62</v>
      </c>
      <c r="AZ20" s="1593"/>
      <c r="BA20" s="1323" t="s">
        <v>62</v>
      </c>
    </row>
    <row r="21" spans="1:60" ht="14.25" hidden="1" customHeight="1">
      <c r="BD21" s="424"/>
      <c r="BE21" s="424"/>
      <c r="BF21" s="424"/>
      <c r="BG21" s="424"/>
      <c r="BH21" s="424"/>
    </row>
    <row r="22" spans="1:60" ht="14.25" hidden="1" customHeight="1">
      <c r="O22" s="1246" t="s">
        <v>1480</v>
      </c>
      <c r="Z22" s="1228"/>
      <c r="AB22" s="1228"/>
      <c r="AC22" s="254"/>
      <c r="AX22" s="1228"/>
      <c r="AZ22" s="1228"/>
      <c r="BA22" s="254"/>
      <c r="BD22" s="424"/>
      <c r="BE22" s="424"/>
      <c r="BF22" s="424"/>
      <c r="BG22" s="424"/>
      <c r="BH22" s="424"/>
    </row>
    <row r="23" spans="1:60" ht="14.25" hidden="1" customHeight="1">
      <c r="AC23" s="254"/>
      <c r="BA23" s="254"/>
      <c r="BD23" s="424"/>
      <c r="BE23" s="424"/>
      <c r="BF23" s="424"/>
      <c r="BG23" s="424"/>
      <c r="BH23" s="424"/>
    </row>
    <row r="24" spans="1:60" s="1691" customFormat="1" ht="14.25" hidden="1" customHeight="1">
      <c r="M24" s="1367"/>
      <c r="N24" s="1367"/>
      <c r="O24" s="1368" t="s">
        <v>1481</v>
      </c>
      <c r="P24" s="1367"/>
      <c r="Q24" s="1369"/>
      <c r="R24" s="1369"/>
      <c r="AA24" s="1366" t="s">
        <v>1483</v>
      </c>
      <c r="AC24" s="1366" t="s">
        <v>1484</v>
      </c>
      <c r="AD24" s="1366" t="s">
        <v>1544</v>
      </c>
      <c r="AH24" s="1366" t="s">
        <v>1544</v>
      </c>
      <c r="AK24" s="1366" t="s">
        <v>1703</v>
      </c>
      <c r="AL24" s="1366" t="s">
        <v>1544</v>
      </c>
      <c r="AP24" s="1366" t="s">
        <v>1544</v>
      </c>
      <c r="AY24" s="1366" t="s">
        <v>1483</v>
      </c>
      <c r="BA24" s="1366" t="s">
        <v>1484</v>
      </c>
      <c r="BD24" s="1370"/>
      <c r="BE24" s="1370"/>
      <c r="BF24" s="1370"/>
      <c r="BG24" s="1370"/>
      <c r="BH24" s="1370"/>
    </row>
    <row r="25" spans="1:60" ht="14.25" hidden="1" customHeight="1">
      <c r="O25" s="1243"/>
      <c r="BD25" s="424"/>
      <c r="BE25" s="424"/>
      <c r="BF25" s="424"/>
      <c r="BG25" s="424"/>
      <c r="BH25" s="424"/>
    </row>
    <row r="26" spans="1:60" ht="14.25" hidden="1" customHeight="1">
      <c r="O26" s="1243"/>
      <c r="BD26" s="424"/>
      <c r="BE26" s="424"/>
      <c r="BF26" s="424"/>
      <c r="BG26" s="424"/>
      <c r="BH26" s="424"/>
    </row>
    <row r="27" spans="1:60" ht="14.25" customHeight="1">
      <c r="Q27" s="209"/>
      <c r="R27" s="304"/>
      <c r="S27" s="1156"/>
      <c r="T27" s="289"/>
      <c r="U27" s="289"/>
      <c r="V27" s="437"/>
      <c r="W27" s="437"/>
      <c r="X27" s="437"/>
      <c r="Y27" s="437"/>
      <c r="Z27" s="437"/>
      <c r="AA27" s="437"/>
      <c r="AB27" s="437"/>
      <c r="AC27" s="437"/>
      <c r="AD27" s="437"/>
      <c r="AE27" s="437"/>
      <c r="AF27" s="437"/>
      <c r="AG27" s="437"/>
      <c r="AH27" s="437"/>
      <c r="AI27" s="437"/>
      <c r="AJ27" s="437"/>
      <c r="AK27" s="437"/>
      <c r="AL27" s="437"/>
      <c r="AM27" s="437"/>
      <c r="AN27" s="437"/>
      <c r="AO27" s="437"/>
      <c r="AP27" s="437"/>
      <c r="AQ27" s="437"/>
      <c r="AR27" s="437"/>
      <c r="AS27" s="437"/>
      <c r="AT27" s="437"/>
      <c r="AU27" s="437"/>
      <c r="AV27" s="437"/>
      <c r="AW27" s="437"/>
      <c r="AX27" s="437"/>
      <c r="AY27" s="437"/>
      <c r="AZ27" s="437"/>
      <c r="BA27" s="437"/>
    </row>
    <row r="28" spans="1:60" ht="33.75" customHeight="1">
      <c r="Q28" s="209"/>
      <c r="R28" s="304"/>
      <c r="S28" s="2065" t="str">
        <f>IF(TEMPLATE_GROUP="P",PT_P_FORM_COLDVSNA_5_NAME_FORM,PT_R_FORM_COLDVSNA_17_NAME_FORM)</f>
        <v>Форма 16. Информация о предложении организации холодного водоснабжения расчетной величины тарифов на подключение (технологическое присоединение) к централизованной системе холодного водоснабжения &lt;1&gt;</v>
      </c>
      <c r="T28" s="2065"/>
      <c r="U28" s="2065"/>
      <c r="V28" s="2065"/>
      <c r="W28" s="2065"/>
      <c r="X28" s="2065"/>
      <c r="Y28" s="2065"/>
      <c r="Z28" s="2065"/>
      <c r="AA28" s="2065"/>
      <c r="AB28" s="2065"/>
      <c r="AC28" s="2065"/>
      <c r="AD28" s="2065"/>
      <c r="AE28" s="2065"/>
      <c r="AF28" s="2065"/>
      <c r="AG28" s="2065"/>
      <c r="AH28" s="2065"/>
      <c r="AI28" s="2065"/>
      <c r="AJ28" s="2065"/>
      <c r="AK28" s="2065"/>
      <c r="AL28" s="2065"/>
      <c r="AM28" s="2065"/>
      <c r="AN28" s="2065"/>
      <c r="AO28" s="2065"/>
      <c r="AP28" s="2065"/>
      <c r="AQ28" s="2065"/>
      <c r="AR28" s="2065"/>
      <c r="AS28" s="2065"/>
      <c r="AT28" s="2065"/>
      <c r="AU28" s="2065"/>
      <c r="AV28" s="2065"/>
      <c r="AW28" s="2065"/>
      <c r="AX28" s="2065"/>
      <c r="AY28" s="2065"/>
      <c r="AZ28" s="2065"/>
      <c r="BA28" s="1114"/>
    </row>
    <row r="29" spans="1:60" ht="14.25" customHeight="1">
      <c r="Q29" s="209"/>
      <c r="R29" s="304"/>
      <c r="S29" s="2088" t="str">
        <f>IF(org=0,"Не определено",org)</f>
        <v>МУП г. Астрахани "Коммунэнерго"</v>
      </c>
      <c r="T29" s="2088"/>
      <c r="U29" s="2088"/>
      <c r="V29" s="2088"/>
      <c r="W29" s="2088"/>
      <c r="X29" s="2088"/>
      <c r="Y29" s="2088"/>
      <c r="Z29" s="2088"/>
      <c r="AA29" s="2088"/>
      <c r="AB29" s="2088"/>
      <c r="AC29" s="2088"/>
      <c r="AD29" s="2088"/>
      <c r="AE29" s="2088"/>
      <c r="AF29" s="2088"/>
      <c r="AG29" s="2088"/>
      <c r="AH29" s="2088"/>
      <c r="AI29" s="2088"/>
      <c r="AJ29" s="2088"/>
      <c r="AK29" s="2088"/>
      <c r="AL29" s="2088"/>
      <c r="AM29" s="2088"/>
      <c r="AN29" s="2088"/>
      <c r="AO29" s="2088"/>
      <c r="AP29" s="2088"/>
      <c r="AQ29" s="2088"/>
      <c r="AR29" s="2088"/>
      <c r="AS29" s="2088"/>
      <c r="AT29" s="2088"/>
      <c r="AU29" s="2088"/>
      <c r="AV29" s="2088"/>
      <c r="AW29" s="2088"/>
      <c r="AX29" s="2088"/>
      <c r="AY29" s="2088"/>
      <c r="AZ29" s="2088"/>
      <c r="BA29" s="1114"/>
    </row>
    <row r="30" spans="1:60" ht="14.25" hidden="1" customHeight="1">
      <c r="Q30" s="209"/>
      <c r="R30" s="304"/>
      <c r="S30" s="1156"/>
      <c r="T30" s="289"/>
      <c r="U30" s="289"/>
      <c r="V30" s="248"/>
      <c r="W30" s="248"/>
      <c r="X30" s="248"/>
      <c r="Y30" s="248"/>
      <c r="Z30" s="248"/>
      <c r="AA30" s="248"/>
      <c r="AB30" s="248"/>
      <c r="AC30" s="248"/>
      <c r="AD30" s="248"/>
      <c r="AE30" s="248"/>
      <c r="AF30" s="248"/>
      <c r="AG30" s="248"/>
      <c r="AH30" s="248"/>
      <c r="AI30" s="248"/>
      <c r="AJ30" s="248"/>
      <c r="AK30" s="248"/>
      <c r="AL30" s="248"/>
      <c r="AM30" s="248"/>
      <c r="AN30" s="248"/>
      <c r="AO30" s="248"/>
      <c r="AP30" s="248"/>
      <c r="AQ30" s="248"/>
      <c r="AR30" s="248"/>
      <c r="AS30" s="248"/>
      <c r="AT30" s="248"/>
      <c r="AU30" s="248"/>
      <c r="AV30" s="248"/>
      <c r="AW30" s="248"/>
      <c r="AX30" s="248"/>
      <c r="AY30" s="248"/>
      <c r="AZ30" s="248"/>
      <c r="BA30" s="248"/>
      <c r="BB30" s="437"/>
    </row>
    <row r="31" spans="1:60" s="1933" customFormat="1" ht="25.5" hidden="1" customHeight="1">
      <c r="A31" s="1247"/>
      <c r="B31" s="1247"/>
      <c r="C31" s="1247"/>
      <c r="D31" s="1247"/>
      <c r="E31" s="1247"/>
      <c r="F31" s="1247"/>
      <c r="G31" s="1247"/>
      <c r="H31" s="1247"/>
      <c r="I31" s="1247"/>
      <c r="J31" s="1247"/>
      <c r="K31" s="1247"/>
      <c r="L31" s="1248"/>
      <c r="M31" s="1247"/>
      <c r="N31" s="1247"/>
      <c r="O31" s="1247"/>
      <c r="P31" s="1247"/>
      <c r="Q31" s="1247"/>
      <c r="S31" s="2213" t="s">
        <v>38</v>
      </c>
      <c r="T31" s="2213"/>
      <c r="U31" s="1251"/>
      <c r="V31" s="2214"/>
      <c r="W31" s="2214"/>
      <c r="X31" s="2214"/>
      <c r="Y31" s="2214"/>
      <c r="Z31" s="2214"/>
      <c r="AA31" s="2214"/>
      <c r="AB31" s="2214"/>
      <c r="AC31" s="253"/>
      <c r="AD31" s="2214" t="str">
        <f>IF(TITLE_NAME_OR_PR_CHANGE="",IF(TITLE_NAME_OR_PR="","",TITLE_NAME_OR_PR),TITLE_NAME_OR_PR_CHANGE)</f>
        <v/>
      </c>
      <c r="AE31" s="2214"/>
      <c r="AF31" s="2214"/>
      <c r="AG31" s="2214"/>
      <c r="AH31" s="2214"/>
      <c r="AI31" s="2214"/>
      <c r="AJ31" s="2214"/>
      <c r="AK31" s="2214"/>
      <c r="AL31" s="2214"/>
      <c r="AM31" s="2214"/>
      <c r="AN31" s="2214"/>
      <c r="AO31" s="2214"/>
      <c r="AP31" s="2214"/>
      <c r="AQ31" s="2214"/>
      <c r="AR31" s="2214"/>
      <c r="AS31" s="2214"/>
      <c r="AT31" s="2214"/>
      <c r="AU31" s="2214"/>
      <c r="AV31" s="2214"/>
      <c r="AW31" s="2214"/>
      <c r="AX31" s="2214"/>
      <c r="AY31" s="2214"/>
      <c r="AZ31" s="2214"/>
      <c r="BA31" s="253"/>
      <c r="BB31" s="253"/>
      <c r="BC31" s="199"/>
      <c r="BD31" s="295"/>
      <c r="BE31" s="295"/>
      <c r="BF31" s="295"/>
      <c r="BG31" s="295"/>
      <c r="BH31" s="295"/>
    </row>
    <row r="32" spans="1:60" s="1933" customFormat="1" ht="18.75" hidden="1" customHeight="1">
      <c r="A32" s="1247"/>
      <c r="B32" s="1247"/>
      <c r="C32" s="1247"/>
      <c r="D32" s="1247"/>
      <c r="E32" s="1247"/>
      <c r="F32" s="1247"/>
      <c r="G32" s="1247"/>
      <c r="H32" s="1247"/>
      <c r="I32" s="1247"/>
      <c r="J32" s="1247"/>
      <c r="K32" s="1247"/>
      <c r="L32" s="1248"/>
      <c r="M32" s="1247"/>
      <c r="N32" s="1247"/>
      <c r="O32" s="1247"/>
      <c r="P32" s="1247"/>
      <c r="Q32" s="1247"/>
      <c r="S32" s="2213" t="s">
        <v>1486</v>
      </c>
      <c r="T32" s="2213"/>
      <c r="U32" s="1251"/>
      <c r="V32" s="2214"/>
      <c r="W32" s="2214"/>
      <c r="X32" s="2214"/>
      <c r="Y32" s="2214"/>
      <c r="Z32" s="2214"/>
      <c r="AA32" s="2214"/>
      <c r="AB32" s="2214"/>
      <c r="AC32" s="253"/>
      <c r="AD32" s="2214" t="str">
        <f>IF(TITLE_DATE_CHANGE_PERIOD="",IF(TITLE_DATE_PR="","",TITLE_DATE_PR),TITLE_DATE_CHANGE_PERIOD)</f>
        <v/>
      </c>
      <c r="AE32" s="2214"/>
      <c r="AF32" s="2214"/>
      <c r="AG32" s="2214"/>
      <c r="AH32" s="2214"/>
      <c r="AI32" s="2214"/>
      <c r="AJ32" s="2214"/>
      <c r="AK32" s="2214"/>
      <c r="AL32" s="2214"/>
      <c r="AM32" s="2214"/>
      <c r="AN32" s="2214"/>
      <c r="AO32" s="2214"/>
      <c r="AP32" s="2214"/>
      <c r="AQ32" s="2214"/>
      <c r="AR32" s="2214"/>
      <c r="AS32" s="2214"/>
      <c r="AT32" s="2214"/>
      <c r="AU32" s="2214"/>
      <c r="AV32" s="2214"/>
      <c r="AW32" s="2214"/>
      <c r="AX32" s="2214"/>
      <c r="AY32" s="2214"/>
      <c r="AZ32" s="2214"/>
      <c r="BA32" s="253"/>
      <c r="BB32" s="253"/>
      <c r="BC32" s="199"/>
      <c r="BD32" s="295"/>
      <c r="BE32" s="295"/>
      <c r="BF32" s="295"/>
      <c r="BG32" s="295"/>
      <c r="BH32" s="295"/>
    </row>
    <row r="33" spans="1:60" s="1933" customFormat="1" ht="18.75" hidden="1" customHeight="1">
      <c r="A33" s="1247"/>
      <c r="B33" s="1247"/>
      <c r="C33" s="1247"/>
      <c r="D33" s="1247"/>
      <c r="E33" s="1247"/>
      <c r="F33" s="1247"/>
      <c r="G33" s="1247"/>
      <c r="H33" s="1247"/>
      <c r="I33" s="1247"/>
      <c r="J33" s="1247"/>
      <c r="K33" s="1247"/>
      <c r="L33" s="1248"/>
      <c r="M33" s="1247"/>
      <c r="N33" s="1247"/>
      <c r="O33" s="1247"/>
      <c r="P33" s="1247"/>
      <c r="Q33" s="1247"/>
      <c r="S33" s="2213" t="s">
        <v>1487</v>
      </c>
      <c r="T33" s="2213"/>
      <c r="U33" s="1251"/>
      <c r="V33" s="2214"/>
      <c r="W33" s="2214"/>
      <c r="X33" s="2214"/>
      <c r="Y33" s="2214"/>
      <c r="Z33" s="2214"/>
      <c r="AA33" s="2214"/>
      <c r="AB33" s="2214"/>
      <c r="AC33" s="253"/>
      <c r="AD33" s="2214" t="str">
        <f>IF(TITLE_NUMBER_PR_CHANGE="",IF(TITLE_NUMBER_PR="","",TITLE_NUMBER_PR),TITLE_NUMBER_PR_CHANGE)</f>
        <v/>
      </c>
      <c r="AE33" s="2214"/>
      <c r="AF33" s="2214"/>
      <c r="AG33" s="2214"/>
      <c r="AH33" s="2214"/>
      <c r="AI33" s="2214"/>
      <c r="AJ33" s="2214"/>
      <c r="AK33" s="2214"/>
      <c r="AL33" s="2214"/>
      <c r="AM33" s="2214"/>
      <c r="AN33" s="2214"/>
      <c r="AO33" s="2214"/>
      <c r="AP33" s="2214"/>
      <c r="AQ33" s="2214"/>
      <c r="AR33" s="2214"/>
      <c r="AS33" s="2214"/>
      <c r="AT33" s="2214"/>
      <c r="AU33" s="2214"/>
      <c r="AV33" s="2214"/>
      <c r="AW33" s="2214"/>
      <c r="AX33" s="2214"/>
      <c r="AY33" s="2214"/>
      <c r="AZ33" s="2214"/>
      <c r="BA33" s="253"/>
      <c r="BB33" s="253"/>
      <c r="BC33" s="199"/>
      <c r="BD33" s="295"/>
      <c r="BE33" s="295"/>
      <c r="BF33" s="295"/>
      <c r="BG33" s="295"/>
      <c r="BH33" s="295"/>
    </row>
    <row r="34" spans="1:60" s="1933" customFormat="1" ht="18.75" hidden="1" customHeight="1">
      <c r="A34" s="1247"/>
      <c r="B34" s="1247"/>
      <c r="C34" s="1247"/>
      <c r="D34" s="1247"/>
      <c r="E34" s="1247"/>
      <c r="F34" s="1247"/>
      <c r="G34" s="1247"/>
      <c r="H34" s="1247"/>
      <c r="I34" s="1247"/>
      <c r="J34" s="1247"/>
      <c r="K34" s="1247"/>
      <c r="L34" s="1248"/>
      <c r="M34" s="1247"/>
      <c r="N34" s="1247"/>
      <c r="O34" s="1247"/>
      <c r="P34" s="1247"/>
      <c r="Q34" s="1247"/>
      <c r="S34" s="2213" t="s">
        <v>39</v>
      </c>
      <c r="T34" s="2213"/>
      <c r="U34" s="1251"/>
      <c r="V34" s="2214"/>
      <c r="W34" s="2214"/>
      <c r="X34" s="2214"/>
      <c r="Y34" s="2214"/>
      <c r="Z34" s="2214"/>
      <c r="AA34" s="2214"/>
      <c r="AB34" s="2214"/>
      <c r="AC34" s="253"/>
      <c r="AD34" s="2214" t="str">
        <f>IF(TITLE_IST_PUB_CHANGE="",IF(TITLE_IST_PUB="","",TITLE_IST_PUB),TITLE_IST_PUB_CHANGE)</f>
        <v/>
      </c>
      <c r="AE34" s="2214"/>
      <c r="AF34" s="2214"/>
      <c r="AG34" s="2214"/>
      <c r="AH34" s="2214"/>
      <c r="AI34" s="2214"/>
      <c r="AJ34" s="2214"/>
      <c r="AK34" s="2214"/>
      <c r="AL34" s="2214"/>
      <c r="AM34" s="2214"/>
      <c r="AN34" s="2214"/>
      <c r="AO34" s="2214"/>
      <c r="AP34" s="2214"/>
      <c r="AQ34" s="2214"/>
      <c r="AR34" s="2214"/>
      <c r="AS34" s="2214"/>
      <c r="AT34" s="2214"/>
      <c r="AU34" s="2214"/>
      <c r="AV34" s="2214"/>
      <c r="AW34" s="2214"/>
      <c r="AX34" s="2214"/>
      <c r="AY34" s="2214"/>
      <c r="AZ34" s="2214"/>
      <c r="BA34" s="253"/>
      <c r="BB34" s="253"/>
      <c r="BC34" s="199"/>
      <c r="BD34" s="295"/>
      <c r="BE34" s="295"/>
      <c r="BF34" s="295"/>
      <c r="BG34" s="295"/>
      <c r="BH34" s="295"/>
    </row>
    <row r="35" spans="1:60" ht="14.25" hidden="1" customHeight="1">
      <c r="Q35" s="209"/>
      <c r="R35" s="304"/>
      <c r="S35" s="1156"/>
      <c r="T35" s="289"/>
      <c r="U35" s="289"/>
      <c r="V35" s="248"/>
      <c r="W35" s="248"/>
      <c r="X35" s="248"/>
      <c r="Y35" s="248"/>
      <c r="Z35" s="248"/>
      <c r="AA35" s="248"/>
      <c r="AB35" s="248"/>
      <c r="AC35" s="248"/>
      <c r="AD35" s="248"/>
      <c r="AE35" s="248"/>
      <c r="AF35" s="248"/>
      <c r="AG35" s="248"/>
      <c r="AH35" s="248"/>
      <c r="AI35" s="248"/>
      <c r="AJ35" s="248"/>
      <c r="AK35" s="248"/>
      <c r="AL35" s="248"/>
      <c r="AM35" s="248"/>
      <c r="AN35" s="248"/>
      <c r="AO35" s="248"/>
      <c r="AP35" s="248"/>
      <c r="AQ35" s="248"/>
      <c r="AR35" s="248"/>
      <c r="AS35" s="248"/>
      <c r="AT35" s="248"/>
      <c r="AU35" s="248"/>
      <c r="AV35" s="248"/>
      <c r="AW35" s="248"/>
      <c r="AX35" s="248"/>
      <c r="AY35" s="248"/>
      <c r="AZ35" s="248"/>
      <c r="BA35" s="248"/>
      <c r="BB35" s="437"/>
    </row>
    <row r="36" spans="1:60" s="1933" customFormat="1" ht="18.75" hidden="1" customHeight="1">
      <c r="A36" s="1247"/>
      <c r="B36" s="1247"/>
      <c r="C36" s="1247"/>
      <c r="D36" s="1247"/>
      <c r="E36" s="1247"/>
      <c r="F36" s="1247"/>
      <c r="G36" s="1247"/>
      <c r="H36" s="1247"/>
      <c r="I36" s="1247"/>
      <c r="J36" s="1247"/>
      <c r="K36" s="1247"/>
      <c r="L36" s="1248"/>
      <c r="M36" s="1247"/>
      <c r="N36" s="1247"/>
      <c r="O36" s="1247"/>
      <c r="P36" s="1247"/>
      <c r="Q36" s="1247"/>
      <c r="S36" s="2213" t="s">
        <v>1486</v>
      </c>
      <c r="T36" s="2213"/>
      <c r="U36" s="1251"/>
      <c r="V36" s="2214"/>
      <c r="W36" s="2214"/>
      <c r="X36" s="2214"/>
      <c r="Y36" s="2214"/>
      <c r="Z36" s="2214"/>
      <c r="AA36" s="2214"/>
      <c r="AB36" s="2214"/>
      <c r="AC36" s="253"/>
      <c r="AD36" s="2214" t="str">
        <f>IF(TITLE_DATE_CHANGE_PERIOD="",IF(TITLE_DATE_PR="","",TITLE_DATE_PR),TITLE_DATE_CHANGE_PERIOD)</f>
        <v/>
      </c>
      <c r="AE36" s="2214"/>
      <c r="AF36" s="2214"/>
      <c r="AG36" s="2214"/>
      <c r="AH36" s="2214"/>
      <c r="AI36" s="2214"/>
      <c r="AJ36" s="2214"/>
      <c r="AK36" s="2214"/>
      <c r="AL36" s="2214"/>
      <c r="AM36" s="2214"/>
      <c r="AN36" s="2214"/>
      <c r="AO36" s="2214"/>
      <c r="AP36" s="2214"/>
      <c r="AQ36" s="2214"/>
      <c r="AR36" s="2214"/>
      <c r="AS36" s="2214"/>
      <c r="AT36" s="2214"/>
      <c r="AU36" s="2214"/>
      <c r="AV36" s="2214"/>
      <c r="AW36" s="2214"/>
      <c r="AX36" s="2214"/>
      <c r="AY36" s="2214"/>
      <c r="AZ36" s="2214"/>
      <c r="BA36" s="253"/>
      <c r="BB36" s="253"/>
      <c r="BC36" s="199"/>
      <c r="BD36" s="295"/>
      <c r="BE36" s="295"/>
      <c r="BF36" s="295"/>
      <c r="BG36" s="295"/>
      <c r="BH36" s="295"/>
    </row>
    <row r="37" spans="1:60" s="1933" customFormat="1" ht="18.75" hidden="1" customHeight="1">
      <c r="A37" s="1247"/>
      <c r="B37" s="1247"/>
      <c r="C37" s="1247"/>
      <c r="D37" s="1247"/>
      <c r="E37" s="1247"/>
      <c r="F37" s="1247"/>
      <c r="G37" s="1247"/>
      <c r="H37" s="1247"/>
      <c r="I37" s="1247"/>
      <c r="J37" s="1247"/>
      <c r="K37" s="1247"/>
      <c r="L37" s="1248"/>
      <c r="M37" s="1247"/>
      <c r="N37" s="1247"/>
      <c r="O37" s="1247"/>
      <c r="P37" s="1247"/>
      <c r="Q37" s="1247"/>
      <c r="S37" s="2213" t="s">
        <v>1487</v>
      </c>
      <c r="T37" s="2213"/>
      <c r="U37" s="1251"/>
      <c r="V37" s="2214"/>
      <c r="W37" s="2214"/>
      <c r="X37" s="2214"/>
      <c r="Y37" s="2214"/>
      <c r="Z37" s="2214"/>
      <c r="AA37" s="2214"/>
      <c r="AB37" s="2214"/>
      <c r="AC37" s="253"/>
      <c r="AD37" s="2214" t="str">
        <f>IF(TITLE_NUMBER_PR_CHANGE="",IF(TITLE_NUMBER_PR="","",TITLE_NUMBER_PR),TITLE_NUMBER_PR_CHANGE)</f>
        <v/>
      </c>
      <c r="AE37" s="2214"/>
      <c r="AF37" s="2214"/>
      <c r="AG37" s="2214"/>
      <c r="AH37" s="2214"/>
      <c r="AI37" s="2214"/>
      <c r="AJ37" s="2214"/>
      <c r="AK37" s="2214"/>
      <c r="AL37" s="2214"/>
      <c r="AM37" s="2214"/>
      <c r="AN37" s="2214"/>
      <c r="AO37" s="2214"/>
      <c r="AP37" s="2214"/>
      <c r="AQ37" s="2214"/>
      <c r="AR37" s="2214"/>
      <c r="AS37" s="2214"/>
      <c r="AT37" s="2214"/>
      <c r="AU37" s="2214"/>
      <c r="AV37" s="2214"/>
      <c r="AW37" s="2214"/>
      <c r="AX37" s="2214"/>
      <c r="AY37" s="2214"/>
      <c r="AZ37" s="2214"/>
      <c r="BA37" s="253"/>
      <c r="BB37" s="253"/>
      <c r="BC37" s="199"/>
      <c r="BD37" s="295"/>
      <c r="BE37" s="295"/>
      <c r="BF37" s="295"/>
      <c r="BG37" s="295"/>
      <c r="BH37" s="295"/>
    </row>
    <row r="38" spans="1:60" s="1933" customFormat="1" ht="0" hidden="1" customHeight="1">
      <c r="A38" s="1247"/>
      <c r="B38" s="1247"/>
      <c r="C38" s="1247"/>
      <c r="D38" s="1247"/>
      <c r="E38" s="1247"/>
      <c r="F38" s="1247"/>
      <c r="G38" s="1247"/>
      <c r="H38" s="1247"/>
      <c r="I38" s="1247"/>
      <c r="J38" s="1247"/>
      <c r="K38" s="1247"/>
      <c r="L38" s="1248"/>
      <c r="M38" s="1247"/>
      <c r="N38" s="1247"/>
      <c r="O38" s="1247"/>
      <c r="P38" s="1247"/>
      <c r="Q38" s="1247"/>
      <c r="S38" s="250"/>
      <c r="T38" s="250"/>
      <c r="U38" s="1317"/>
      <c r="V38" s="253"/>
      <c r="W38" s="253"/>
      <c r="X38" s="253"/>
      <c r="Y38" s="253"/>
      <c r="Z38" s="253"/>
      <c r="AA38" s="253"/>
      <c r="AB38" s="253"/>
      <c r="AC38" s="197" t="s">
        <v>1490</v>
      </c>
      <c r="AD38" s="253"/>
      <c r="AE38" s="253"/>
      <c r="AF38" s="253"/>
      <c r="AG38" s="253"/>
      <c r="AH38" s="253"/>
      <c r="AI38" s="253"/>
      <c r="AJ38" s="253"/>
      <c r="AK38" s="253"/>
      <c r="AL38" s="253"/>
      <c r="AM38" s="253"/>
      <c r="AN38" s="253"/>
      <c r="AO38" s="253"/>
      <c r="AP38" s="253"/>
      <c r="AQ38" s="253"/>
      <c r="AR38" s="253"/>
      <c r="AS38" s="253"/>
      <c r="AT38" s="253"/>
      <c r="AU38" s="253"/>
      <c r="AV38" s="253"/>
      <c r="AW38" s="253"/>
      <c r="AX38" s="253"/>
      <c r="AY38" s="253"/>
      <c r="AZ38" s="253"/>
      <c r="BA38" s="197" t="s">
        <v>1490</v>
      </c>
      <c r="BD38" s="295"/>
      <c r="BE38" s="295"/>
      <c r="BF38" s="295"/>
      <c r="BG38" s="295"/>
      <c r="BH38" s="295"/>
    </row>
    <row r="39" spans="1:60" ht="14.25" customHeight="1">
      <c r="Q39" s="209"/>
      <c r="R39" s="304"/>
      <c r="S39" s="1156"/>
      <c r="T39" s="289"/>
      <c r="U39" s="1115"/>
      <c r="V39" s="2232"/>
      <c r="W39" s="2232"/>
      <c r="X39" s="2232"/>
      <c r="Y39" s="2232"/>
      <c r="Z39" s="2232"/>
      <c r="AA39" s="2232"/>
      <c r="AB39" s="2232"/>
      <c r="AC39" s="2232"/>
      <c r="AD39" s="2232"/>
      <c r="AE39" s="2232"/>
      <c r="AF39" s="2232"/>
      <c r="AG39" s="2232"/>
      <c r="AH39" s="2232"/>
      <c r="AI39" s="2232"/>
      <c r="AJ39" s="2232"/>
      <c r="AK39" s="2232"/>
      <c r="AL39" s="2232"/>
      <c r="AM39" s="2232"/>
      <c r="AN39" s="2232"/>
      <c r="AO39" s="2232"/>
      <c r="AP39" s="2232"/>
      <c r="AQ39" s="2232"/>
      <c r="AR39" s="2232"/>
      <c r="AS39" s="2232"/>
      <c r="AT39" s="2232"/>
      <c r="AU39" s="2232"/>
      <c r="AV39" s="2232"/>
      <c r="AW39" s="2232"/>
      <c r="AX39" s="2232"/>
      <c r="AY39" s="2232"/>
      <c r="AZ39" s="2232"/>
      <c r="BA39" s="2232"/>
    </row>
    <row r="40" spans="1:60" ht="14.25" customHeight="1">
      <c r="Q40" s="209"/>
      <c r="R40" s="304"/>
      <c r="S40" s="2007" t="s">
        <v>292</v>
      </c>
      <c r="T40" s="2007"/>
      <c r="U40" s="2007"/>
      <c r="V40" s="2007"/>
      <c r="W40" s="2007"/>
      <c r="X40" s="2007"/>
      <c r="Y40" s="2007"/>
      <c r="Z40" s="2007"/>
      <c r="AA40" s="2007"/>
      <c r="AB40" s="2007"/>
      <c r="AC40" s="2007"/>
      <c r="AD40" s="2007"/>
      <c r="AE40" s="2007"/>
      <c r="AF40" s="2007"/>
      <c r="AG40" s="2007"/>
      <c r="AH40" s="2007"/>
      <c r="AI40" s="2007"/>
      <c r="AJ40" s="2007"/>
      <c r="AK40" s="2007"/>
      <c r="AL40" s="2007"/>
      <c r="AM40" s="2007"/>
      <c r="AN40" s="2007"/>
      <c r="AO40" s="2007"/>
      <c r="AP40" s="2007"/>
      <c r="AQ40" s="2007"/>
      <c r="AR40" s="2007"/>
      <c r="AS40" s="2007"/>
      <c r="AT40" s="2007"/>
      <c r="AU40" s="2007"/>
      <c r="AV40" s="2007"/>
      <c r="AW40" s="2007"/>
      <c r="AX40" s="2007"/>
      <c r="AY40" s="2007"/>
      <c r="AZ40" s="2007"/>
      <c r="BA40" s="2007"/>
      <c r="BB40" s="2007"/>
      <c r="BC40" s="2007" t="s">
        <v>293</v>
      </c>
    </row>
    <row r="41" spans="1:60" ht="14.25" customHeight="1">
      <c r="Q41" s="209"/>
      <c r="R41" s="304"/>
      <c r="S41" s="2233" t="s">
        <v>87</v>
      </c>
      <c r="T41" s="2097" t="s">
        <v>1704</v>
      </c>
      <c r="U41" s="219"/>
      <c r="V41" s="2234" t="s">
        <v>1492</v>
      </c>
      <c r="W41" s="2235"/>
      <c r="X41" s="2235"/>
      <c r="Y41" s="2235"/>
      <c r="Z41" s="2235"/>
      <c r="AA41" s="2235"/>
      <c r="AB41" s="2236"/>
      <c r="AC41" s="2237" t="s">
        <v>1493</v>
      </c>
      <c r="AD41" s="2259" t="s">
        <v>1705</v>
      </c>
      <c r="AE41" s="2248"/>
      <c r="AF41" s="2248"/>
      <c r="AG41" s="2260"/>
      <c r="AH41" s="2259" t="s">
        <v>1706</v>
      </c>
      <c r="AI41" s="2248"/>
      <c r="AJ41" s="2248"/>
      <c r="AK41" s="2260"/>
      <c r="AL41" s="2259" t="s">
        <v>1707</v>
      </c>
      <c r="AM41" s="2248"/>
      <c r="AN41" s="2248"/>
      <c r="AO41" s="2260"/>
      <c r="AP41" s="2259" t="s">
        <v>1708</v>
      </c>
      <c r="AQ41" s="2248"/>
      <c r="AR41" s="2248"/>
      <c r="AS41" s="2260"/>
      <c r="AT41" s="2234" t="s">
        <v>1492</v>
      </c>
      <c r="AU41" s="2235"/>
      <c r="AV41" s="2235"/>
      <c r="AW41" s="2235"/>
      <c r="AX41" s="2235"/>
      <c r="AY41" s="2235"/>
      <c r="AZ41" s="2236"/>
      <c r="BA41" s="2237" t="s">
        <v>1493</v>
      </c>
      <c r="BB41" s="2240" t="s">
        <v>1495</v>
      </c>
      <c r="BC41" s="2007"/>
    </row>
    <row r="42" spans="1:60" ht="33.75" customHeight="1">
      <c r="Q42" s="209"/>
      <c r="R42" s="304"/>
      <c r="S42" s="2233"/>
      <c r="T42" s="2097"/>
      <c r="U42" s="924"/>
      <c r="V42" s="2067" t="s">
        <v>1709</v>
      </c>
      <c r="W42" s="2068"/>
      <c r="X42" s="2067" t="s">
        <v>1710</v>
      </c>
      <c r="Y42" s="2068"/>
      <c r="Z42" s="2067" t="s">
        <v>1711</v>
      </c>
      <c r="AA42" s="2253"/>
      <c r="AB42" s="2068"/>
      <c r="AC42" s="2238"/>
      <c r="AD42" s="2261"/>
      <c r="AE42" s="2262"/>
      <c r="AF42" s="2262"/>
      <c r="AG42" s="2263"/>
      <c r="AH42" s="2261"/>
      <c r="AI42" s="2262"/>
      <c r="AJ42" s="2262"/>
      <c r="AK42" s="2263"/>
      <c r="AL42" s="2261"/>
      <c r="AM42" s="2262"/>
      <c r="AN42" s="2262"/>
      <c r="AO42" s="2263"/>
      <c r="AP42" s="2261"/>
      <c r="AQ42" s="2262"/>
      <c r="AR42" s="2262"/>
      <c r="AS42" s="2263"/>
      <c r="AT42" s="2067" t="s">
        <v>1709</v>
      </c>
      <c r="AU42" s="2068"/>
      <c r="AV42" s="2067" t="s">
        <v>1710</v>
      </c>
      <c r="AW42" s="2068"/>
      <c r="AX42" s="2067" t="s">
        <v>1711</v>
      </c>
      <c r="AY42" s="2253"/>
      <c r="AZ42" s="2068"/>
      <c r="BA42" s="2238"/>
      <c r="BB42" s="2241"/>
      <c r="BC42" s="2007"/>
    </row>
    <row r="43" spans="1:60" ht="14.25" customHeight="1">
      <c r="Q43" s="209"/>
      <c r="R43" s="304"/>
      <c r="S43" s="2233"/>
      <c r="T43" s="2097"/>
      <c r="U43" s="924"/>
      <c r="V43" s="2072"/>
      <c r="W43" s="2073"/>
      <c r="X43" s="2072"/>
      <c r="Y43" s="2073"/>
      <c r="Z43" s="2072"/>
      <c r="AA43" s="2254"/>
      <c r="AB43" s="2073"/>
      <c r="AC43" s="2238"/>
      <c r="AD43" s="2261"/>
      <c r="AE43" s="2262"/>
      <c r="AF43" s="2262"/>
      <c r="AG43" s="2263"/>
      <c r="AH43" s="2261"/>
      <c r="AI43" s="2262"/>
      <c r="AJ43" s="2262"/>
      <c r="AK43" s="2263"/>
      <c r="AL43" s="2261"/>
      <c r="AM43" s="2262"/>
      <c r="AN43" s="2262"/>
      <c r="AO43" s="2263"/>
      <c r="AP43" s="2261"/>
      <c r="AQ43" s="2262"/>
      <c r="AR43" s="2262"/>
      <c r="AS43" s="2263"/>
      <c r="AT43" s="2072"/>
      <c r="AU43" s="2073"/>
      <c r="AV43" s="2072"/>
      <c r="AW43" s="2073"/>
      <c r="AX43" s="2072"/>
      <c r="AY43" s="2254"/>
      <c r="AZ43" s="2073"/>
      <c r="BA43" s="2238"/>
      <c r="BB43" s="2241"/>
      <c r="BC43" s="2007"/>
    </row>
    <row r="44" spans="1:60" ht="14.25" customHeight="1">
      <c r="A44" s="1249"/>
      <c r="B44" s="1249" t="s">
        <v>136</v>
      </c>
      <c r="C44" s="1249" t="s">
        <v>137</v>
      </c>
      <c r="D44" s="1249" t="s">
        <v>138</v>
      </c>
      <c r="E44" s="1243" t="s">
        <v>1500</v>
      </c>
      <c r="F44" s="1243" t="s">
        <v>1501</v>
      </c>
      <c r="G44" s="1243" t="s">
        <v>1502</v>
      </c>
      <c r="H44" s="1243" t="s">
        <v>1503</v>
      </c>
      <c r="I44" s="1243" t="s">
        <v>1504</v>
      </c>
      <c r="J44" s="1243" t="s">
        <v>1505</v>
      </c>
      <c r="K44" s="1243" t="s">
        <v>1506</v>
      </c>
      <c r="L44" s="1243" t="s">
        <v>1481</v>
      </c>
      <c r="Q44" s="209"/>
      <c r="R44" s="304"/>
      <c r="S44" s="2233"/>
      <c r="T44" s="2097"/>
      <c r="U44" s="220"/>
      <c r="V44" s="1311" t="s">
        <v>1552</v>
      </c>
      <c r="W44" s="1311" t="s">
        <v>1553</v>
      </c>
      <c r="X44" s="1311" t="s">
        <v>1552</v>
      </c>
      <c r="Y44" s="1311" t="s">
        <v>1553</v>
      </c>
      <c r="Z44" s="1318" t="s">
        <v>1509</v>
      </c>
      <c r="AA44" s="2103" t="s">
        <v>1510</v>
      </c>
      <c r="AB44" s="2117"/>
      <c r="AC44" s="2239"/>
      <c r="AD44" s="2264"/>
      <c r="AE44" s="2265"/>
      <c r="AF44" s="2265"/>
      <c r="AG44" s="2266"/>
      <c r="AH44" s="2264"/>
      <c r="AI44" s="2265"/>
      <c r="AJ44" s="2265"/>
      <c r="AK44" s="2266"/>
      <c r="AL44" s="2264"/>
      <c r="AM44" s="2265"/>
      <c r="AN44" s="2265"/>
      <c r="AO44" s="2266"/>
      <c r="AP44" s="2264"/>
      <c r="AQ44" s="2265"/>
      <c r="AR44" s="2265"/>
      <c r="AS44" s="2266"/>
      <c r="AT44" s="1311" t="s">
        <v>1552</v>
      </c>
      <c r="AU44" s="1311" t="s">
        <v>1553</v>
      </c>
      <c r="AV44" s="1311" t="s">
        <v>1552</v>
      </c>
      <c r="AW44" s="1311" t="s">
        <v>1553</v>
      </c>
      <c r="AX44" s="1318" t="s">
        <v>1509</v>
      </c>
      <c r="AY44" s="2103" t="s">
        <v>1510</v>
      </c>
      <c r="AZ44" s="2117"/>
      <c r="BA44" s="2239"/>
      <c r="BB44" s="2242"/>
      <c r="BC44" s="2007"/>
    </row>
    <row r="45" spans="1:60" s="1708" customFormat="1" ht="11.25" hidden="1" customHeight="1">
      <c r="A45" s="1249"/>
      <c r="B45" s="1249"/>
      <c r="C45" s="1249"/>
      <c r="D45" s="1249"/>
      <c r="E45" s="1249"/>
      <c r="F45" s="1249"/>
      <c r="G45" s="1249"/>
      <c r="H45" s="1249"/>
      <c r="I45" s="1249"/>
      <c r="J45" s="1249"/>
      <c r="K45" s="1249"/>
      <c r="L45" s="1243"/>
      <c r="M45" s="1241"/>
      <c r="N45" s="1241"/>
      <c r="O45" s="1241"/>
      <c r="P45" s="438"/>
      <c r="Q45" s="1133"/>
      <c r="R45" s="1133">
        <v>1</v>
      </c>
      <c r="S45" s="1158" t="s">
        <v>108</v>
      </c>
      <c r="T45" s="1134" t="s">
        <v>109</v>
      </c>
      <c r="U45" s="1116" t="str">
        <f ca="1">OFFSET(U45,0,-1)</f>
        <v>2</v>
      </c>
      <c r="V45" s="1314">
        <f t="shared" ref="V45:AA45" ca="1" si="2">OFFSET(V45,0,-1)+1</f>
        <v>3</v>
      </c>
      <c r="W45" s="1314">
        <f t="shared" ca="1" si="2"/>
        <v>4</v>
      </c>
      <c r="X45" s="1314">
        <f t="shared" ca="1" si="2"/>
        <v>5</v>
      </c>
      <c r="Y45" s="1314">
        <f t="shared" ca="1" si="2"/>
        <v>6</v>
      </c>
      <c r="Z45" s="1314">
        <f t="shared" ca="1" si="2"/>
        <v>7</v>
      </c>
      <c r="AA45" s="2231">
        <f t="shared" ca="1" si="2"/>
        <v>8</v>
      </c>
      <c r="AB45" s="2231"/>
      <c r="AC45" s="1314">
        <f ca="1">OFFSET(AC45,0,-2)+1</f>
        <v>9</v>
      </c>
      <c r="AD45" s="1314">
        <f ca="1">OFFSET(AD45,0,-1)+1</f>
        <v>10</v>
      </c>
      <c r="AE45" s="1314"/>
      <c r="AF45" s="1314"/>
      <c r="AG45" s="1314"/>
      <c r="AH45" s="1314"/>
      <c r="AI45" s="1314"/>
      <c r="AJ45" s="1314"/>
      <c r="AK45" s="1314"/>
      <c r="AL45" s="1314"/>
      <c r="AM45" s="1314"/>
      <c r="AN45" s="1314"/>
      <c r="AO45" s="1314"/>
      <c r="AP45" s="1314"/>
      <c r="AQ45" s="1314"/>
      <c r="AR45" s="1314"/>
      <c r="AS45" s="1314"/>
      <c r="AT45" s="1314"/>
      <c r="AU45" s="1314"/>
      <c r="AV45" s="1314"/>
      <c r="AW45" s="1314">
        <f ca="1">OFFSET(AW45,0,-1)+1</f>
        <v>1</v>
      </c>
      <c r="AX45" s="1314">
        <f ca="1">OFFSET(AX45,0,-1)+1</f>
        <v>2</v>
      </c>
      <c r="AY45" s="2231">
        <f ca="1">OFFSET(AY45,0,-1)+1</f>
        <v>3</v>
      </c>
      <c r="AZ45" s="2231"/>
      <c r="BA45" s="1314">
        <f ca="1">OFFSET(BA45,0,-2)+1</f>
        <v>4</v>
      </c>
      <c r="BB45" s="1116">
        <f ca="1">OFFSET(BB45,0,-1)</f>
        <v>4</v>
      </c>
      <c r="BC45" s="1314">
        <f ca="1">OFFSET(BC45,0,-1)+1</f>
        <v>5</v>
      </c>
      <c r="BD45" s="439"/>
      <c r="BE45" s="439"/>
      <c r="BF45" s="439"/>
      <c r="BG45" s="439"/>
      <c r="BH45" s="439"/>
    </row>
    <row r="46" spans="1:60" ht="21" customHeight="1">
      <c r="A46" s="1242" t="s">
        <v>238</v>
      </c>
      <c r="B46" s="1242"/>
      <c r="C46" s="1242"/>
      <c r="D46" s="1242"/>
      <c r="E46" s="2221">
        <v>1</v>
      </c>
      <c r="F46" s="1242"/>
      <c r="G46" s="1242"/>
      <c r="H46" s="1242"/>
      <c r="I46" s="1242"/>
      <c r="J46" s="1242"/>
      <c r="K46" s="1242"/>
      <c r="L46" s="1243"/>
      <c r="M46" s="1244"/>
      <c r="N46" s="1244"/>
      <c r="O46" s="1244"/>
      <c r="P46" s="1277"/>
      <c r="Q46" s="770"/>
      <c r="R46" s="279"/>
      <c r="S46" s="1320">
        <f>INDEX(PT_DIFFERENTIATION_NUM_NTAR,MATCH(A46,PT_DIFFERENTIATION_NTAR_ID,0))</f>
        <v>0</v>
      </c>
      <c r="T46" s="216" t="s">
        <v>124</v>
      </c>
      <c r="U46" s="218"/>
      <c r="V46" s="2216"/>
      <c r="W46" s="2216"/>
      <c r="X46" s="2216"/>
      <c r="Y46" s="2216"/>
      <c r="Z46" s="2216"/>
      <c r="AA46" s="2216"/>
      <c r="AB46" s="2216"/>
      <c r="AC46" s="2217"/>
      <c r="AD46" s="2215" t="str">
        <f>INDEX(PT_DIFFERENTIATION_NTAR,MATCH(A46,PT_DIFFERENTIATION_NTAR_ID,0))</f>
        <v/>
      </c>
      <c r="AE46" s="2216"/>
      <c r="AF46" s="2216"/>
      <c r="AG46" s="2216"/>
      <c r="AH46" s="2216"/>
      <c r="AI46" s="2216"/>
      <c r="AJ46" s="2216"/>
      <c r="AK46" s="2216"/>
      <c r="AL46" s="2216"/>
      <c r="AM46" s="2216"/>
      <c r="AN46" s="2216"/>
      <c r="AO46" s="2216"/>
      <c r="AP46" s="2216"/>
      <c r="AQ46" s="2216"/>
      <c r="AR46" s="2216"/>
      <c r="AS46" s="2216"/>
      <c r="AT46" s="2216"/>
      <c r="AU46" s="2216"/>
      <c r="AV46" s="2216"/>
      <c r="AW46" s="2216"/>
      <c r="AX46" s="2216"/>
      <c r="AY46" s="2216"/>
      <c r="AZ46" s="2216"/>
      <c r="BA46" s="2216"/>
      <c r="BB46" s="2217"/>
      <c r="BC46" s="1138"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BE46" s="428"/>
      <c r="BF46" s="428" t="str">
        <f t="shared" ref="BF46:BF52" si="3">IF(T46="","",T46)</f>
        <v>Наименование тарифа</v>
      </c>
      <c r="BG46" s="428"/>
      <c r="BH46" s="428"/>
    </row>
    <row r="47" spans="1:60" ht="21" customHeight="1">
      <c r="A47" s="1242" t="s">
        <v>238</v>
      </c>
      <c r="B47" s="1242" t="s">
        <v>239</v>
      </c>
      <c r="C47" s="1242"/>
      <c r="D47" s="1242"/>
      <c r="E47" s="2222"/>
      <c r="F47" s="2221">
        <v>1</v>
      </c>
      <c r="G47" s="1242"/>
      <c r="H47" s="1242"/>
      <c r="I47" s="1242"/>
      <c r="J47" s="1242"/>
      <c r="K47" s="1242"/>
      <c r="L47" s="1243"/>
      <c r="M47" s="1244"/>
      <c r="N47" s="1244"/>
      <c r="O47" s="1244"/>
      <c r="P47" s="1278"/>
      <c r="Q47" s="1279"/>
      <c r="R47" s="277"/>
      <c r="S47" s="1320" t="str">
        <f>INDEX(PT_DIFFERENTIATION_NUM_TER,MATCH(B47,PT_DIFFERENTIATION_TER_ID,0))</f>
        <v>.</v>
      </c>
      <c r="T47" s="228" t="s">
        <v>1463</v>
      </c>
      <c r="U47" s="218"/>
      <c r="V47" s="2216"/>
      <c r="W47" s="2216"/>
      <c r="X47" s="2216"/>
      <c r="Y47" s="2216"/>
      <c r="Z47" s="2216"/>
      <c r="AA47" s="2216"/>
      <c r="AB47" s="2216"/>
      <c r="AC47" s="2217"/>
      <c r="AD47" s="2215" t="str">
        <f>INDEX(PT_DIFFERENTIATION_TER,MATCH(B47,PT_DIFFERENTIATION_TER_ID,0))</f>
        <v/>
      </c>
      <c r="AE47" s="2216"/>
      <c r="AF47" s="2216"/>
      <c r="AG47" s="2216"/>
      <c r="AH47" s="2216"/>
      <c r="AI47" s="2216"/>
      <c r="AJ47" s="2216"/>
      <c r="AK47" s="2216"/>
      <c r="AL47" s="2216"/>
      <c r="AM47" s="2216"/>
      <c r="AN47" s="2216"/>
      <c r="AO47" s="2216"/>
      <c r="AP47" s="2216"/>
      <c r="AQ47" s="2216"/>
      <c r="AR47" s="2216"/>
      <c r="AS47" s="2216"/>
      <c r="AT47" s="2216"/>
      <c r="AU47" s="2216"/>
      <c r="AV47" s="2216"/>
      <c r="AW47" s="2216"/>
      <c r="AX47" s="2216"/>
      <c r="AY47" s="2216"/>
      <c r="AZ47" s="2216"/>
      <c r="BA47" s="2216"/>
      <c r="BB47" s="2217"/>
      <c r="BC47" s="1138" t="s">
        <v>1464</v>
      </c>
      <c r="BE47" s="428"/>
      <c r="BF47" s="428" t="str">
        <f t="shared" si="3"/>
        <v>Территория действия тарифа</v>
      </c>
      <c r="BG47" s="428"/>
      <c r="BH47" s="428"/>
    </row>
    <row r="48" spans="1:60" ht="42" customHeight="1">
      <c r="A48" s="1242" t="s">
        <v>238</v>
      </c>
      <c r="B48" s="1242" t="s">
        <v>239</v>
      </c>
      <c r="C48" s="1242" t="s">
        <v>240</v>
      </c>
      <c r="D48" s="1242"/>
      <c r="E48" s="2222"/>
      <c r="F48" s="2222"/>
      <c r="G48" s="2221">
        <v>1</v>
      </c>
      <c r="H48" s="1242"/>
      <c r="I48" s="1242"/>
      <c r="J48" s="1242"/>
      <c r="K48" s="1242"/>
      <c r="L48" s="1243"/>
      <c r="M48" s="1244"/>
      <c r="N48" s="1244"/>
      <c r="O48" s="1244"/>
      <c r="P48" s="1280"/>
      <c r="Q48" s="1279"/>
      <c r="R48" s="277"/>
      <c r="S48" s="1320" t="str">
        <f>INDEX(PT_DIFFERENTIATION_NUM_CS,MATCH(C48,PT_DIFFERENTIATION_CS_ID,0))</f>
        <v>..</v>
      </c>
      <c r="T48" s="229" t="s">
        <v>1678</v>
      </c>
      <c r="U48" s="218"/>
      <c r="V48" s="2216"/>
      <c r="W48" s="2216"/>
      <c r="X48" s="2216"/>
      <c r="Y48" s="2216"/>
      <c r="Z48" s="2216"/>
      <c r="AA48" s="2216"/>
      <c r="AB48" s="2216"/>
      <c r="AC48" s="2217"/>
      <c r="AD48" s="2215" t="str">
        <f>INDEX(PT_DIFFERENTIATION_CS,MATCH(C48,PT_DIFFERENTIATION_CS_ID,0))</f>
        <v/>
      </c>
      <c r="AE48" s="2216"/>
      <c r="AF48" s="2216"/>
      <c r="AG48" s="2216"/>
      <c r="AH48" s="2216"/>
      <c r="AI48" s="2216"/>
      <c r="AJ48" s="2216"/>
      <c r="AK48" s="2216"/>
      <c r="AL48" s="2216"/>
      <c r="AM48" s="2216"/>
      <c r="AN48" s="2216"/>
      <c r="AO48" s="2216"/>
      <c r="AP48" s="2216"/>
      <c r="AQ48" s="2216"/>
      <c r="AR48" s="2216"/>
      <c r="AS48" s="2216"/>
      <c r="AT48" s="2216"/>
      <c r="AU48" s="2216"/>
      <c r="AV48" s="2216"/>
      <c r="AW48" s="2216"/>
      <c r="AX48" s="2216"/>
      <c r="AY48" s="2216"/>
      <c r="AZ48" s="2216"/>
      <c r="BA48" s="2216"/>
      <c r="BB48" s="2217"/>
      <c r="BC48" s="1138" t="s">
        <v>1679</v>
      </c>
      <c r="BE48" s="428"/>
      <c r="BF48" s="428" t="str">
        <f t="shared" si="3"/>
        <v>Наименование централизованной системы холодного водоснабжения</v>
      </c>
      <c r="BG48" s="428"/>
      <c r="BH48" s="428"/>
    </row>
    <row r="49" spans="1:60" s="1755" customFormat="1" ht="0" hidden="1" customHeight="1">
      <c r="A49" s="1226" t="s">
        <v>238</v>
      </c>
      <c r="B49" s="1226" t="s">
        <v>239</v>
      </c>
      <c r="C49" s="1226" t="s">
        <v>240</v>
      </c>
      <c r="D49" s="1226" t="s">
        <v>1712</v>
      </c>
      <c r="E49" s="2222"/>
      <c r="F49" s="2222"/>
      <c r="G49" s="2222"/>
      <c r="H49" s="2221">
        <v>1</v>
      </c>
      <c r="I49" s="1226"/>
      <c r="J49" s="1226"/>
      <c r="K49" s="1226"/>
      <c r="L49" s="1229"/>
      <c r="M49" s="1199"/>
      <c r="N49" s="1199"/>
      <c r="O49" s="1199"/>
      <c r="P49" s="1356"/>
      <c r="Q49" s="1357"/>
      <c r="R49" s="281"/>
      <c r="S49" s="932"/>
      <c r="T49" s="1358"/>
      <c r="U49" s="1262"/>
      <c r="V49" s="2250"/>
      <c r="W49" s="2250"/>
      <c r="X49" s="2250"/>
      <c r="Y49" s="2250"/>
      <c r="Z49" s="2250"/>
      <c r="AA49" s="2250"/>
      <c r="AB49" s="2250"/>
      <c r="AC49" s="2251"/>
      <c r="AD49" s="2249"/>
      <c r="AE49" s="2250"/>
      <c r="AF49" s="2250"/>
      <c r="AG49" s="2250"/>
      <c r="AH49" s="2250"/>
      <c r="AI49" s="2250"/>
      <c r="AJ49" s="2250"/>
      <c r="AK49" s="2250"/>
      <c r="AL49" s="2250"/>
      <c r="AM49" s="2250"/>
      <c r="AN49" s="2250"/>
      <c r="AO49" s="2250"/>
      <c r="AP49" s="2250"/>
      <c r="AQ49" s="2250"/>
      <c r="AR49" s="2250"/>
      <c r="AS49" s="2250"/>
      <c r="AT49" s="2250"/>
      <c r="AU49" s="2250"/>
      <c r="AV49" s="2250"/>
      <c r="AW49" s="2250"/>
      <c r="AX49" s="2250"/>
      <c r="AY49" s="2250"/>
      <c r="AZ49" s="2250"/>
      <c r="BA49" s="2250"/>
      <c r="BB49" s="2251"/>
      <c r="BC49" s="1263" t="s">
        <v>1468</v>
      </c>
      <c r="BE49" s="428"/>
      <c r="BF49" s="428" t="str">
        <f t="shared" si="3"/>
        <v/>
      </c>
      <c r="BG49" s="428"/>
      <c r="BH49" s="428"/>
    </row>
    <row r="50" spans="1:60" s="1755" customFormat="1" ht="0" hidden="1" customHeight="1">
      <c r="A50" s="1226" t="s">
        <v>238</v>
      </c>
      <c r="B50" s="1226" t="s">
        <v>239</v>
      </c>
      <c r="C50" s="1226" t="s">
        <v>240</v>
      </c>
      <c r="D50" s="1226" t="s">
        <v>1712</v>
      </c>
      <c r="E50" s="2222"/>
      <c r="F50" s="2222"/>
      <c r="G50" s="2222"/>
      <c r="H50" s="2222"/>
      <c r="I50" s="2223" t="str">
        <f>S49&amp;".1"</f>
        <v>.1</v>
      </c>
      <c r="J50" s="1226"/>
      <c r="K50" s="1226"/>
      <c r="L50" s="1229" t="s">
        <v>1469</v>
      </c>
      <c r="M50" s="438"/>
      <c r="N50" s="438"/>
      <c r="O50" s="438"/>
      <c r="P50" s="2143">
        <v>1</v>
      </c>
      <c r="Q50" s="1324"/>
      <c r="R50" s="280"/>
      <c r="S50" s="932"/>
      <c r="T50" s="1261"/>
      <c r="U50" s="1262"/>
      <c r="V50" s="2250"/>
      <c r="W50" s="2250"/>
      <c r="X50" s="2250"/>
      <c r="Y50" s="2250"/>
      <c r="Z50" s="2250"/>
      <c r="AA50" s="2250"/>
      <c r="AB50" s="2250"/>
      <c r="AC50" s="2251"/>
      <c r="AD50" s="2249"/>
      <c r="AE50" s="2250"/>
      <c r="AF50" s="2250"/>
      <c r="AG50" s="2250"/>
      <c r="AH50" s="2250"/>
      <c r="AI50" s="2250"/>
      <c r="AJ50" s="2250"/>
      <c r="AK50" s="2250"/>
      <c r="AL50" s="2250"/>
      <c r="AM50" s="2250"/>
      <c r="AN50" s="2250"/>
      <c r="AO50" s="2250"/>
      <c r="AP50" s="2250"/>
      <c r="AQ50" s="2250"/>
      <c r="AR50" s="2250"/>
      <c r="AS50" s="2250"/>
      <c r="AT50" s="2250"/>
      <c r="AU50" s="2250"/>
      <c r="AV50" s="2250"/>
      <c r="AW50" s="2250"/>
      <c r="AX50" s="2250"/>
      <c r="AY50" s="2250"/>
      <c r="AZ50" s="2250"/>
      <c r="BA50" s="2250"/>
      <c r="BB50" s="2251"/>
      <c r="BC50" s="1263"/>
      <c r="BE50" s="428"/>
      <c r="BF50" s="428" t="str">
        <f t="shared" si="3"/>
        <v/>
      </c>
      <c r="BG50" s="428"/>
      <c r="BH50" s="428"/>
    </row>
    <row r="51" spans="1:60" s="1755" customFormat="1" ht="0" hidden="1" customHeight="1">
      <c r="A51" s="1226" t="s">
        <v>238</v>
      </c>
      <c r="B51" s="1226" t="s">
        <v>239</v>
      </c>
      <c r="C51" s="1226" t="s">
        <v>240</v>
      </c>
      <c r="D51" s="1226" t="s">
        <v>1712</v>
      </c>
      <c r="E51" s="2222"/>
      <c r="F51" s="2222"/>
      <c r="G51" s="2222"/>
      <c r="H51" s="2222"/>
      <c r="I51" s="2224"/>
      <c r="J51" s="2223" t="str">
        <f>S49&amp;".1"</f>
        <v>.1</v>
      </c>
      <c r="K51" s="1226"/>
      <c r="L51" s="1229"/>
      <c r="M51" s="438"/>
      <c r="N51" s="438"/>
      <c r="O51" s="438"/>
      <c r="P51" s="2143"/>
      <c r="Q51" s="2143">
        <v>1</v>
      </c>
      <c r="R51" s="281"/>
      <c r="S51" s="932"/>
      <c r="T51" s="1271"/>
      <c r="U51" s="1262"/>
      <c r="V51" s="2250"/>
      <c r="W51" s="2250"/>
      <c r="X51" s="2250"/>
      <c r="Y51" s="2250"/>
      <c r="Z51" s="2250"/>
      <c r="AA51" s="2250"/>
      <c r="AB51" s="2250"/>
      <c r="AC51" s="2251"/>
      <c r="AD51" s="2249"/>
      <c r="AE51" s="2250"/>
      <c r="AF51" s="2250"/>
      <c r="AG51" s="2250"/>
      <c r="AH51" s="2250"/>
      <c r="AI51" s="2250"/>
      <c r="AJ51" s="2250"/>
      <c r="AK51" s="2250"/>
      <c r="AL51" s="2250"/>
      <c r="AM51" s="2250"/>
      <c r="AN51" s="2328"/>
      <c r="AO51" s="2328"/>
      <c r="AP51" s="2250"/>
      <c r="AQ51" s="2250"/>
      <c r="AR51" s="2250"/>
      <c r="AS51" s="2250"/>
      <c r="AT51" s="2250"/>
      <c r="AU51" s="2250"/>
      <c r="AV51" s="2250"/>
      <c r="AW51" s="2250"/>
      <c r="AX51" s="2250"/>
      <c r="AY51" s="2250"/>
      <c r="AZ51" s="2250"/>
      <c r="BA51" s="2250"/>
      <c r="BB51" s="2251"/>
      <c r="BC51" s="1263"/>
      <c r="BE51" s="428"/>
      <c r="BF51" s="428" t="str">
        <f t="shared" si="3"/>
        <v/>
      </c>
      <c r="BG51" s="428"/>
      <c r="BH51" s="428"/>
    </row>
    <row r="52" spans="1:60" ht="11.25" customHeight="1">
      <c r="A52" s="1242" t="s">
        <v>238</v>
      </c>
      <c r="B52" s="1242" t="s">
        <v>239</v>
      </c>
      <c r="C52" s="1242" t="s">
        <v>240</v>
      </c>
      <c r="D52" s="1242" t="s">
        <v>1712</v>
      </c>
      <c r="E52" s="2222"/>
      <c r="F52" s="2222"/>
      <c r="G52" s="2222"/>
      <c r="H52" s="2222"/>
      <c r="I52" s="2224"/>
      <c r="J52" s="2224"/>
      <c r="K52" s="2223" t="str">
        <f>S48&amp;".1"</f>
        <v>...1</v>
      </c>
      <c r="L52" s="1243"/>
      <c r="P52" s="2143"/>
      <c r="Q52" s="2143"/>
      <c r="R52" s="281">
        <v>1</v>
      </c>
      <c r="S52" s="2272" t="str">
        <f>$K52</f>
        <v>...1</v>
      </c>
      <c r="T52" s="2322"/>
      <c r="U52" s="218"/>
      <c r="V52" s="1664"/>
      <c r="W52" s="1666"/>
      <c r="X52" s="1664"/>
      <c r="Y52" s="1666"/>
      <c r="Z52" s="1591"/>
      <c r="AA52" s="1322" t="s">
        <v>62</v>
      </c>
      <c r="AB52" s="1591"/>
      <c r="AC52" s="1322" t="s">
        <v>62</v>
      </c>
      <c r="AD52" s="2079" t="s">
        <v>62</v>
      </c>
      <c r="AE52" s="2268"/>
      <c r="AF52" s="2267">
        <v>1</v>
      </c>
      <c r="AG52" s="2321"/>
      <c r="AH52" s="2017" t="s">
        <v>62</v>
      </c>
      <c r="AI52" s="2268"/>
      <c r="AJ52" s="2267">
        <v>1</v>
      </c>
      <c r="AK52" s="2320" t="s">
        <v>17</v>
      </c>
      <c r="AL52" s="2017" t="s">
        <v>62</v>
      </c>
      <c r="AM52" s="2067"/>
      <c r="AN52" s="2267">
        <v>1</v>
      </c>
      <c r="AO52" s="2325"/>
      <c r="AP52" s="2326" t="s">
        <v>62</v>
      </c>
      <c r="AQ52" s="231"/>
      <c r="AR52" s="1325">
        <v>1</v>
      </c>
      <c r="AS52" s="1328" t="s">
        <v>17</v>
      </c>
      <c r="AT52" s="1664"/>
      <c r="AU52" s="1666"/>
      <c r="AV52" s="1664"/>
      <c r="AW52" s="1666"/>
      <c r="AX52" s="1591"/>
      <c r="AY52" s="1322" t="s">
        <v>62</v>
      </c>
      <c r="AZ52" s="1591"/>
      <c r="BA52" s="1322" t="s">
        <v>62</v>
      </c>
      <c r="BB52" s="1672"/>
      <c r="BC52" s="2243" t="s">
        <v>1698</v>
      </c>
      <c r="BE52" s="428"/>
      <c r="BF52" s="428" t="str">
        <f t="shared" si="3"/>
        <v/>
      </c>
      <c r="BG52" s="428"/>
      <c r="BH52" s="428"/>
    </row>
    <row r="53" spans="1:60" ht="11.25" customHeight="1">
      <c r="A53" s="1242"/>
      <c r="B53" s="1242"/>
      <c r="C53" s="1242"/>
      <c r="D53" s="1242"/>
      <c r="E53" s="2222"/>
      <c r="F53" s="2222"/>
      <c r="G53" s="2222"/>
      <c r="H53" s="2222"/>
      <c r="I53" s="2224"/>
      <c r="J53" s="2224"/>
      <c r="K53" s="2223"/>
      <c r="L53" s="1243"/>
      <c r="P53" s="2143"/>
      <c r="Q53" s="2143"/>
      <c r="R53" s="281"/>
      <c r="S53" s="2273"/>
      <c r="T53" s="2323"/>
      <c r="U53" s="218"/>
      <c r="V53" s="1680"/>
      <c r="W53" s="1686"/>
      <c r="X53" s="1680"/>
      <c r="Y53" s="1686"/>
      <c r="Z53" s="1680"/>
      <c r="AA53" s="1680"/>
      <c r="AB53" s="1680"/>
      <c r="AC53" s="1680"/>
      <c r="AD53" s="2080"/>
      <c r="AE53" s="2268"/>
      <c r="AF53" s="2267"/>
      <c r="AG53" s="2321"/>
      <c r="AH53" s="2017"/>
      <c r="AI53" s="2268"/>
      <c r="AJ53" s="2267"/>
      <c r="AK53" s="2320"/>
      <c r="AL53" s="2017"/>
      <c r="AM53" s="2072"/>
      <c r="AN53" s="2267"/>
      <c r="AO53" s="2325"/>
      <c r="AP53" s="2327"/>
      <c r="AQ53" s="238"/>
      <c r="AR53" s="351"/>
      <c r="AS53" s="351" t="s">
        <v>1699</v>
      </c>
      <c r="AT53" s="1680"/>
      <c r="AU53" s="1686"/>
      <c r="AV53" s="1680"/>
      <c r="AW53" s="1686"/>
      <c r="AX53" s="1680"/>
      <c r="AY53" s="1680"/>
      <c r="AZ53" s="1680"/>
      <c r="BA53" s="1680"/>
      <c r="BB53" s="1685"/>
      <c r="BC53" s="2244"/>
      <c r="BE53" s="428"/>
      <c r="BF53" s="428"/>
      <c r="BG53" s="428"/>
      <c r="BH53" s="428"/>
    </row>
    <row r="54" spans="1:60" ht="11.25" customHeight="1">
      <c r="A54" s="1242" t="s">
        <v>238</v>
      </c>
      <c r="B54" s="1242"/>
      <c r="C54" s="1242"/>
      <c r="D54" s="1242"/>
      <c r="E54" s="2222"/>
      <c r="F54" s="2222"/>
      <c r="G54" s="2222"/>
      <c r="H54" s="2222"/>
      <c r="I54" s="2224"/>
      <c r="J54" s="2224"/>
      <c r="K54" s="2223"/>
      <c r="L54" s="1243"/>
      <c r="P54" s="2143"/>
      <c r="Q54" s="2143"/>
      <c r="R54" s="281"/>
      <c r="S54" s="2273"/>
      <c r="T54" s="2323"/>
      <c r="U54" s="218"/>
      <c r="V54" s="1680"/>
      <c r="W54" s="1686"/>
      <c r="X54" s="1680"/>
      <c r="Y54" s="1686"/>
      <c r="Z54" s="1680"/>
      <c r="AA54" s="1680"/>
      <c r="AB54" s="1680"/>
      <c r="AC54" s="1680"/>
      <c r="AD54" s="2080"/>
      <c r="AE54" s="2268"/>
      <c r="AF54" s="2267"/>
      <c r="AG54" s="2321"/>
      <c r="AH54" s="2017"/>
      <c r="AI54" s="2268"/>
      <c r="AJ54" s="2267"/>
      <c r="AK54" s="2320"/>
      <c r="AL54" s="2017"/>
      <c r="AM54" s="238"/>
      <c r="AN54" s="1359"/>
      <c r="AO54" s="1359" t="s">
        <v>1700</v>
      </c>
      <c r="AP54" s="351"/>
      <c r="AQ54" s="351"/>
      <c r="AR54" s="351"/>
      <c r="AS54" s="1680"/>
      <c r="AT54" s="1680"/>
      <c r="AU54" s="1686"/>
      <c r="AV54" s="1680"/>
      <c r="AW54" s="1686"/>
      <c r="AX54" s="1680"/>
      <c r="AY54" s="1680"/>
      <c r="AZ54" s="1680"/>
      <c r="BA54" s="1680"/>
      <c r="BB54" s="1685"/>
      <c r="BC54" s="2244"/>
      <c r="BE54" s="428"/>
      <c r="BF54" s="428"/>
      <c r="BG54" s="428"/>
      <c r="BH54" s="428"/>
    </row>
    <row r="55" spans="1:60" ht="11.25" customHeight="1">
      <c r="A55" s="1242" t="s">
        <v>238</v>
      </c>
      <c r="B55" s="1242"/>
      <c r="C55" s="1242"/>
      <c r="D55" s="1242"/>
      <c r="E55" s="2222"/>
      <c r="F55" s="2222"/>
      <c r="G55" s="2222"/>
      <c r="H55" s="2222"/>
      <c r="I55" s="2224"/>
      <c r="J55" s="2224"/>
      <c r="K55" s="2223"/>
      <c r="L55" s="1243"/>
      <c r="P55" s="2143"/>
      <c r="Q55" s="2143"/>
      <c r="R55" s="281"/>
      <c r="S55" s="2273"/>
      <c r="T55" s="2323"/>
      <c r="U55" s="218"/>
      <c r="V55" s="1680"/>
      <c r="W55" s="1686"/>
      <c r="X55" s="1680"/>
      <c r="Y55" s="1686"/>
      <c r="Z55" s="1680"/>
      <c r="AA55" s="1680"/>
      <c r="AB55" s="1680"/>
      <c r="AC55" s="1680"/>
      <c r="AD55" s="2080"/>
      <c r="AE55" s="2268"/>
      <c r="AF55" s="2267"/>
      <c r="AG55" s="2321"/>
      <c r="AH55" s="2017"/>
      <c r="AI55" s="212"/>
      <c r="AJ55" s="350"/>
      <c r="AK55" s="233" t="s">
        <v>1701</v>
      </c>
      <c r="AL55" s="1680"/>
      <c r="AM55" s="1680"/>
      <c r="AN55" s="1680"/>
      <c r="AO55" s="1680"/>
      <c r="AP55" s="1680"/>
      <c r="AQ55" s="1680"/>
      <c r="AR55" s="1680"/>
      <c r="AS55" s="1680"/>
      <c r="AT55" s="1680"/>
      <c r="AU55" s="1686"/>
      <c r="AV55" s="1680"/>
      <c r="AW55" s="1686"/>
      <c r="AX55" s="1680"/>
      <c r="AY55" s="1680"/>
      <c r="AZ55" s="1680"/>
      <c r="BA55" s="1680"/>
      <c r="BB55" s="1685"/>
      <c r="BC55" s="2244"/>
      <c r="BE55" s="428"/>
      <c r="BF55" s="428"/>
      <c r="BG55" s="428"/>
      <c r="BH55" s="428"/>
    </row>
    <row r="56" spans="1:60" ht="11.25" customHeight="1">
      <c r="A56" s="1242" t="s">
        <v>238</v>
      </c>
      <c r="B56" s="1242" t="s">
        <v>239</v>
      </c>
      <c r="C56" s="1242" t="s">
        <v>240</v>
      </c>
      <c r="D56" s="1242" t="s">
        <v>1712</v>
      </c>
      <c r="E56" s="2222"/>
      <c r="F56" s="2222"/>
      <c r="G56" s="2222"/>
      <c r="H56" s="2222"/>
      <c r="I56" s="2224"/>
      <c r="J56" s="2224"/>
      <c r="K56" s="2223"/>
      <c r="L56" s="1243"/>
      <c r="P56" s="2143"/>
      <c r="Q56" s="2143"/>
      <c r="R56" s="281"/>
      <c r="S56" s="2274"/>
      <c r="T56" s="2324"/>
      <c r="U56" s="218"/>
      <c r="V56" s="1680"/>
      <c r="W56" s="1681" t="str">
        <f>Z52&amp;"-"&amp;AB52</f>
        <v>-</v>
      </c>
      <c r="X56" s="1680"/>
      <c r="Y56" s="1681" t="str">
        <f>AB52&amp;"-"&amp;AD52</f>
        <v>-да</v>
      </c>
      <c r="Z56" s="1680"/>
      <c r="AA56" s="1680"/>
      <c r="AB56" s="1680"/>
      <c r="AC56" s="1680"/>
      <c r="AD56" s="2022"/>
      <c r="AE56" s="232"/>
      <c r="AF56" s="234"/>
      <c r="AG56" s="351" t="s">
        <v>1702</v>
      </c>
      <c r="AH56" s="1680"/>
      <c r="AI56" s="1680"/>
      <c r="AJ56" s="1680"/>
      <c r="AK56" s="1680"/>
      <c r="AL56" s="1680"/>
      <c r="AM56" s="1680"/>
      <c r="AN56" s="1680"/>
      <c r="AO56" s="1680"/>
      <c r="AP56" s="1680"/>
      <c r="AQ56" s="1680"/>
      <c r="AR56" s="1680"/>
      <c r="AS56" s="1680"/>
      <c r="AT56" s="1680"/>
      <c r="AU56" s="1681" t="str">
        <f>AX52&amp;"-"&amp;AZ52</f>
        <v>-</v>
      </c>
      <c r="AV56" s="1680"/>
      <c r="AW56" s="1681" t="str">
        <f>AZ52&amp;"-"&amp;BB52</f>
        <v>-</v>
      </c>
      <c r="AX56" s="1680"/>
      <c r="AY56" s="1680"/>
      <c r="AZ56" s="1680"/>
      <c r="BA56" s="1680"/>
      <c r="BB56" s="1688" t="str">
        <f>BE52&amp;"-"&amp;BG52</f>
        <v>-</v>
      </c>
      <c r="BC56" s="2244"/>
      <c r="BE56" s="428"/>
      <c r="BF56" s="428" t="str">
        <f t="shared" ref="BF56:BF63" si="4">IF(T56="","",T56)</f>
        <v/>
      </c>
      <c r="BG56" s="428"/>
      <c r="BH56" s="428"/>
    </row>
    <row r="57" spans="1:60" ht="11.25" customHeight="1">
      <c r="A57" s="1242" t="s">
        <v>238</v>
      </c>
      <c r="B57" s="1242" t="s">
        <v>239</v>
      </c>
      <c r="C57" s="1242" t="s">
        <v>240</v>
      </c>
      <c r="D57" s="1242" t="s">
        <v>1712</v>
      </c>
      <c r="E57" s="2222"/>
      <c r="F57" s="2222"/>
      <c r="G57" s="2222"/>
      <c r="H57" s="2222"/>
      <c r="I57" s="2224"/>
      <c r="J57" s="2223"/>
      <c r="K57" s="1242"/>
      <c r="L57" s="1243"/>
      <c r="P57" s="2143"/>
      <c r="Q57" s="2143"/>
      <c r="R57" s="280"/>
      <c r="S57" s="1159"/>
      <c r="T57" s="205" t="s">
        <v>1543</v>
      </c>
      <c r="U57" s="294"/>
      <c r="V57" s="294"/>
      <c r="W57" s="294"/>
      <c r="X57" s="294"/>
      <c r="Y57" s="294"/>
      <c r="Z57" s="294"/>
      <c r="AA57" s="294"/>
      <c r="AB57" s="294"/>
      <c r="AC57" s="251"/>
      <c r="AD57" s="1364"/>
      <c r="AE57" s="294"/>
      <c r="AF57" s="294"/>
      <c r="AG57" s="294"/>
      <c r="AH57" s="294"/>
      <c r="AI57" s="294"/>
      <c r="AJ57" s="294"/>
      <c r="AK57" s="294"/>
      <c r="AL57" s="294"/>
      <c r="AM57" s="294"/>
      <c r="AN57" s="294"/>
      <c r="AO57" s="294"/>
      <c r="AP57" s="294"/>
      <c r="AQ57" s="294"/>
      <c r="AR57" s="294"/>
      <c r="AS57" s="294"/>
      <c r="AT57" s="294"/>
      <c r="AU57" s="294"/>
      <c r="AV57" s="294"/>
      <c r="AW57" s="294"/>
      <c r="AX57" s="294"/>
      <c r="AY57" s="294"/>
      <c r="AZ57" s="294"/>
      <c r="BA57" s="294"/>
      <c r="BB57" s="251"/>
      <c r="BC57" s="2245"/>
      <c r="BE57" s="428"/>
      <c r="BF57" s="428" t="str">
        <f t="shared" si="4"/>
        <v>Добавить строку</v>
      </c>
      <c r="BG57" s="428"/>
      <c r="BH57" s="428"/>
    </row>
    <row r="58" spans="1:60" s="1755" customFormat="1" ht="0" hidden="1" customHeight="1">
      <c r="A58" s="1226" t="s">
        <v>238</v>
      </c>
      <c r="B58" s="1226" t="s">
        <v>239</v>
      </c>
      <c r="C58" s="1226" t="s">
        <v>240</v>
      </c>
      <c r="D58" s="1226" t="s">
        <v>1712</v>
      </c>
      <c r="E58" s="2222"/>
      <c r="F58" s="2222"/>
      <c r="G58" s="2222"/>
      <c r="H58" s="2222"/>
      <c r="I58" s="2223"/>
      <c r="J58" s="1226"/>
      <c r="K58" s="1226"/>
      <c r="L58" s="1229"/>
      <c r="M58" s="438"/>
      <c r="N58" s="438"/>
      <c r="O58" s="438"/>
      <c r="P58" s="2143"/>
      <c r="Q58" s="1324"/>
      <c r="R58" s="280"/>
      <c r="S58" s="1264"/>
      <c r="T58" s="1265"/>
      <c r="U58" s="1266"/>
      <c r="V58" s="1266"/>
      <c r="W58" s="1266"/>
      <c r="X58" s="1266"/>
      <c r="Y58" s="1266"/>
      <c r="Z58" s="1266"/>
      <c r="AA58" s="1266"/>
      <c r="AB58" s="1266"/>
      <c r="AC58" s="1266"/>
      <c r="AD58" s="1266"/>
      <c r="AE58" s="1266"/>
      <c r="AF58" s="1266"/>
      <c r="AG58" s="1266"/>
      <c r="AH58" s="1266"/>
      <c r="AI58" s="1266"/>
      <c r="AJ58" s="1266"/>
      <c r="AK58" s="1266"/>
      <c r="AL58" s="1266"/>
      <c r="AM58" s="1266"/>
      <c r="AN58" s="1266"/>
      <c r="AO58" s="1266"/>
      <c r="AP58" s="1266"/>
      <c r="AQ58" s="1266"/>
      <c r="AR58" s="1266"/>
      <c r="AS58" s="1266"/>
      <c r="AT58" s="1266"/>
      <c r="AU58" s="1266"/>
      <c r="AV58" s="1266"/>
      <c r="AW58" s="1266"/>
      <c r="AX58" s="1266"/>
      <c r="AY58" s="1266"/>
      <c r="AZ58" s="1266"/>
      <c r="BA58" s="1266"/>
      <c r="BB58" s="1266"/>
      <c r="BC58" s="1267"/>
      <c r="BE58" s="428"/>
      <c r="BF58" s="428" t="str">
        <f t="shared" si="4"/>
        <v/>
      </c>
      <c r="BG58" s="428"/>
      <c r="BH58" s="428"/>
    </row>
    <row r="59" spans="1:60" s="1755" customFormat="1" ht="0" hidden="1" customHeight="1">
      <c r="A59" s="1226" t="s">
        <v>238</v>
      </c>
      <c r="B59" s="1226" t="s">
        <v>239</v>
      </c>
      <c r="C59" s="1226" t="s">
        <v>240</v>
      </c>
      <c r="D59" s="1226" t="s">
        <v>1712</v>
      </c>
      <c r="E59" s="2222"/>
      <c r="F59" s="2222"/>
      <c r="G59" s="2222"/>
      <c r="H59" s="2221"/>
      <c r="I59" s="1226"/>
      <c r="J59" s="1226"/>
      <c r="K59" s="1226"/>
      <c r="L59" s="1229"/>
      <c r="M59" s="1199"/>
      <c r="N59" s="1199"/>
      <c r="O59" s="446"/>
      <c r="P59" s="311"/>
      <c r="Q59" s="1227"/>
      <c r="R59" s="1273"/>
      <c r="S59" s="1264"/>
      <c r="T59" s="1265"/>
      <c r="U59" s="1266"/>
      <c r="V59" s="1266"/>
      <c r="W59" s="1266"/>
      <c r="X59" s="1266"/>
      <c r="Y59" s="1266"/>
      <c r="Z59" s="1266"/>
      <c r="AA59" s="1266"/>
      <c r="AB59" s="1266"/>
      <c r="AC59" s="1266"/>
      <c r="AD59" s="1266"/>
      <c r="AE59" s="1266"/>
      <c r="AF59" s="1266"/>
      <c r="AG59" s="1266"/>
      <c r="AH59" s="1266"/>
      <c r="AI59" s="1266"/>
      <c r="AJ59" s="1266"/>
      <c r="AK59" s="1266"/>
      <c r="AL59" s="1266"/>
      <c r="AM59" s="1266"/>
      <c r="AN59" s="1266"/>
      <c r="AO59" s="1266"/>
      <c r="AP59" s="1266"/>
      <c r="AQ59" s="1266"/>
      <c r="AR59" s="1266"/>
      <c r="AS59" s="1266"/>
      <c r="AT59" s="1266"/>
      <c r="AU59" s="1266"/>
      <c r="AV59" s="1266"/>
      <c r="AW59" s="1266"/>
      <c r="AX59" s="1266"/>
      <c r="AY59" s="1266"/>
      <c r="AZ59" s="1266"/>
      <c r="BA59" s="1266"/>
      <c r="BB59" s="1266"/>
      <c r="BC59" s="1267"/>
      <c r="BE59" s="428"/>
      <c r="BF59" s="428" t="str">
        <f t="shared" si="4"/>
        <v/>
      </c>
      <c r="BG59" s="428"/>
      <c r="BH59" s="428"/>
    </row>
    <row r="60" spans="1:60" s="1755" customFormat="1" ht="0" hidden="1" customHeight="1">
      <c r="A60" s="1226" t="s">
        <v>238</v>
      </c>
      <c r="B60" s="1226" t="s">
        <v>239</v>
      </c>
      <c r="C60" s="1226" t="s">
        <v>240</v>
      </c>
      <c r="D60" s="1198"/>
      <c r="E60" s="2222"/>
      <c r="F60" s="2222"/>
      <c r="G60" s="2221"/>
      <c r="H60" s="1198"/>
      <c r="I60" s="1198"/>
      <c r="J60" s="1198"/>
      <c r="K60" s="1198"/>
      <c r="L60" s="1326"/>
      <c r="M60" s="1199"/>
      <c r="N60" s="1199"/>
      <c r="P60" s="1200"/>
      <c r="Q60" s="1201"/>
      <c r="R60" s="1200"/>
      <c r="S60" s="1206"/>
      <c r="T60" s="1209"/>
      <c r="U60" s="1208"/>
      <c r="V60" s="1208"/>
      <c r="W60" s="1208"/>
      <c r="X60" s="1208"/>
      <c r="Y60" s="1208"/>
      <c r="Z60" s="1208"/>
      <c r="AA60" s="1208"/>
      <c r="AB60" s="1208"/>
      <c r="AC60" s="1208"/>
      <c r="AD60" s="1208"/>
      <c r="AE60" s="1208"/>
      <c r="AF60" s="1208"/>
      <c r="AG60" s="1208"/>
      <c r="AH60" s="1208"/>
      <c r="AI60" s="1208"/>
      <c r="AJ60" s="1208"/>
      <c r="AK60" s="1208"/>
      <c r="AL60" s="1208"/>
      <c r="AM60" s="1208"/>
      <c r="AN60" s="1208"/>
      <c r="AO60" s="1208"/>
      <c r="AP60" s="1208"/>
      <c r="AQ60" s="1208"/>
      <c r="AR60" s="1208"/>
      <c r="AS60" s="1208"/>
      <c r="AT60" s="1208"/>
      <c r="AU60" s="1208"/>
      <c r="AV60" s="1208"/>
      <c r="AW60" s="1208"/>
      <c r="AX60" s="1208"/>
      <c r="AY60" s="1208"/>
      <c r="AZ60" s="1208"/>
      <c r="BA60" s="1208"/>
      <c r="BB60" s="1208"/>
      <c r="BC60" s="1208"/>
      <c r="BE60" s="695"/>
      <c r="BF60" s="695" t="str">
        <f t="shared" si="4"/>
        <v/>
      </c>
      <c r="BG60" s="695"/>
      <c r="BH60" s="695"/>
    </row>
    <row r="61" spans="1:60" s="1755" customFormat="1" ht="0" hidden="1" customHeight="1">
      <c r="A61" s="1226" t="s">
        <v>238</v>
      </c>
      <c r="B61" s="1226" t="s">
        <v>239</v>
      </c>
      <c r="C61" s="1198"/>
      <c r="D61" s="1198"/>
      <c r="E61" s="2222"/>
      <c r="F61" s="2221"/>
      <c r="G61" s="1198"/>
      <c r="H61" s="1198"/>
      <c r="I61" s="1198"/>
      <c r="J61" s="1198"/>
      <c r="K61" s="1198"/>
      <c r="L61" s="1326"/>
      <c r="M61" s="1205"/>
      <c r="N61" s="1205"/>
      <c r="P61" s="1200"/>
      <c r="Q61" s="1201"/>
      <c r="R61" s="1200"/>
      <c r="S61" s="1206"/>
      <c r="T61" s="1209" t="s">
        <v>1439</v>
      </c>
      <c r="U61" s="1208"/>
      <c r="V61" s="1208"/>
      <c r="W61" s="1208"/>
      <c r="X61" s="1208"/>
      <c r="Y61" s="1208"/>
      <c r="Z61" s="1208"/>
      <c r="AA61" s="1208"/>
      <c r="AB61" s="1208"/>
      <c r="AC61" s="1208"/>
      <c r="AD61" s="1208"/>
      <c r="AE61" s="1208"/>
      <c r="AF61" s="1208"/>
      <c r="AG61" s="1208"/>
      <c r="AH61" s="1208"/>
      <c r="AI61" s="1208"/>
      <c r="AJ61" s="1208"/>
      <c r="AK61" s="1208"/>
      <c r="AL61" s="1208"/>
      <c r="AM61" s="1208"/>
      <c r="AN61" s="1208"/>
      <c r="AO61" s="1208"/>
      <c r="AP61" s="1208"/>
      <c r="AQ61" s="1208"/>
      <c r="AR61" s="1208"/>
      <c r="AS61" s="1208"/>
      <c r="AT61" s="1208"/>
      <c r="AU61" s="1208"/>
      <c r="AV61" s="1208"/>
      <c r="AW61" s="1208"/>
      <c r="AX61" s="1208"/>
      <c r="AY61" s="1208"/>
      <c r="AZ61" s="1208"/>
      <c r="BA61" s="1208"/>
      <c r="BB61" s="1208"/>
      <c r="BC61" s="1208"/>
      <c r="BE61" s="695"/>
      <c r="BF61" s="695" t="str">
        <f t="shared" si="4"/>
        <v>Добавить централизованную систему для дифференциации</v>
      </c>
      <c r="BG61" s="695"/>
      <c r="BH61" s="695"/>
    </row>
    <row r="62" spans="1:60" s="1755" customFormat="1" ht="0" hidden="1" customHeight="1">
      <c r="A62" s="1226" t="s">
        <v>238</v>
      </c>
      <c r="B62" s="1226"/>
      <c r="C62" s="1226"/>
      <c r="D62" s="1226"/>
      <c r="E62" s="2221"/>
      <c r="F62" s="1226"/>
      <c r="G62" s="1226"/>
      <c r="H62" s="1226"/>
      <c r="I62" s="1226"/>
      <c r="J62" s="1226"/>
      <c r="K62" s="1226"/>
      <c r="L62" s="1229"/>
      <c r="M62" s="1205"/>
      <c r="N62" s="1205"/>
      <c r="O62" s="446"/>
      <c r="P62" s="311"/>
      <c r="Q62" s="1227"/>
      <c r="R62" s="311"/>
      <c r="S62" s="1206"/>
      <c r="T62" s="1209" t="s">
        <v>1440</v>
      </c>
      <c r="U62" s="1208"/>
      <c r="V62" s="1208"/>
      <c r="W62" s="1208"/>
      <c r="X62" s="1208"/>
      <c r="Y62" s="1208"/>
      <c r="Z62" s="1208"/>
      <c r="AA62" s="1208"/>
      <c r="AB62" s="1208"/>
      <c r="AC62" s="1208"/>
      <c r="AD62" s="1208"/>
      <c r="AE62" s="1208"/>
      <c r="AF62" s="1208"/>
      <c r="AG62" s="1208"/>
      <c r="AH62" s="1208"/>
      <c r="AI62" s="1208"/>
      <c r="AJ62" s="1208"/>
      <c r="AK62" s="1208"/>
      <c r="AL62" s="1208"/>
      <c r="AM62" s="1208"/>
      <c r="AN62" s="1208"/>
      <c r="AO62" s="1208"/>
      <c r="AP62" s="1208"/>
      <c r="AQ62" s="1208"/>
      <c r="AR62" s="1208"/>
      <c r="AS62" s="1208"/>
      <c r="AT62" s="1208"/>
      <c r="AU62" s="1208"/>
      <c r="AV62" s="1208"/>
      <c r="AW62" s="1208"/>
      <c r="AX62" s="1208"/>
      <c r="AY62" s="1208"/>
      <c r="AZ62" s="1208"/>
      <c r="BA62" s="1208"/>
      <c r="BB62" s="1208"/>
      <c r="BC62" s="1208"/>
      <c r="BE62" s="428"/>
      <c r="BF62" s="428" t="str">
        <f t="shared" si="4"/>
        <v>Добавить территорию для дифференциации</v>
      </c>
      <c r="BG62" s="428"/>
      <c r="BH62" s="428"/>
    </row>
    <row r="63" spans="1:60" s="1755" customFormat="1" ht="0" hidden="1" customHeight="1">
      <c r="A63" s="1198"/>
      <c r="B63" s="1198"/>
      <c r="C63" s="1198"/>
      <c r="D63" s="1198"/>
      <c r="E63" s="1226"/>
      <c r="F63" s="1198"/>
      <c r="G63" s="1198"/>
      <c r="H63" s="1198"/>
      <c r="I63" s="1198"/>
      <c r="J63" s="1198"/>
      <c r="K63" s="1198"/>
      <c r="L63" s="1326"/>
      <c r="M63" s="1205"/>
      <c r="N63" s="1205"/>
      <c r="P63" s="1200"/>
      <c r="Q63" s="1201"/>
      <c r="R63" s="1200"/>
      <c r="S63" s="1206"/>
      <c r="T63" s="1209" t="s">
        <v>1441</v>
      </c>
      <c r="U63" s="1208"/>
      <c r="V63" s="1208"/>
      <c r="W63" s="1208"/>
      <c r="X63" s="1208"/>
      <c r="Y63" s="1208"/>
      <c r="Z63" s="1208"/>
      <c r="AA63" s="1208"/>
      <c r="AB63" s="1208"/>
      <c r="AC63" s="1208"/>
      <c r="AD63" s="1208"/>
      <c r="AE63" s="1208"/>
      <c r="AF63" s="1208"/>
      <c r="AG63" s="1208"/>
      <c r="AH63" s="1208"/>
      <c r="AI63" s="1208"/>
      <c r="AJ63" s="1208"/>
      <c r="AK63" s="1208"/>
      <c r="AL63" s="1208"/>
      <c r="AM63" s="1208"/>
      <c r="AN63" s="1208"/>
      <c r="AO63" s="1208"/>
      <c r="AP63" s="1208"/>
      <c r="AQ63" s="1208"/>
      <c r="AR63" s="1208"/>
      <c r="AS63" s="1208"/>
      <c r="AT63" s="1208"/>
      <c r="AU63" s="1208"/>
      <c r="AV63" s="1208"/>
      <c r="AW63" s="1208"/>
      <c r="AX63" s="1208"/>
      <c r="AY63" s="1208"/>
      <c r="AZ63" s="1208"/>
      <c r="BA63" s="1208"/>
      <c r="BB63" s="1208"/>
      <c r="BC63" s="1208"/>
      <c r="BE63" s="695"/>
      <c r="BF63" s="695" t="str">
        <f t="shared" si="4"/>
        <v>Добавить наименование тарифа</v>
      </c>
      <c r="BG63" s="695"/>
      <c r="BH63" s="695"/>
    </row>
    <row r="64" spans="1:60" ht="11.25" hidden="1" customHeight="1">
      <c r="M64" s="1034"/>
      <c r="N64" s="1034"/>
      <c r="O64" s="464"/>
      <c r="P64" s="1034"/>
      <c r="Q64" s="1034"/>
      <c r="R64" s="1029"/>
      <c r="S64" s="1029"/>
      <c r="BD64" s="1029"/>
      <c r="BE64" s="1029"/>
      <c r="BF64" s="1029"/>
      <c r="BG64" s="1029"/>
      <c r="BH64" s="1029"/>
    </row>
    <row r="65" spans="15:55" ht="18.75" hidden="1" customHeight="1">
      <c r="O65" s="464"/>
      <c r="S65" s="1126" t="s">
        <v>1511</v>
      </c>
      <c r="T65" s="2220" t="s">
        <v>1713</v>
      </c>
      <c r="U65" s="2220"/>
      <c r="V65" s="2220"/>
      <c r="W65" s="2220"/>
      <c r="X65" s="2220"/>
      <c r="Y65" s="2220"/>
      <c r="Z65" s="2220"/>
      <c r="AA65" s="2220"/>
      <c r="AB65" s="2220"/>
      <c r="AC65" s="2220"/>
      <c r="AD65" s="2220"/>
      <c r="AE65" s="2220"/>
      <c r="AF65" s="2220"/>
      <c r="AG65" s="2220"/>
      <c r="AH65" s="2220"/>
      <c r="AI65" s="2220"/>
      <c r="AJ65" s="2220"/>
      <c r="AK65" s="2220"/>
      <c r="AL65" s="2220"/>
      <c r="AM65" s="2220"/>
      <c r="AN65" s="2220"/>
      <c r="AO65" s="2220"/>
      <c r="AP65" s="2220"/>
      <c r="AQ65" s="2220"/>
      <c r="AR65" s="2220"/>
      <c r="AS65" s="2220"/>
      <c r="AT65" s="2220"/>
      <c r="AU65" s="2220"/>
      <c r="AV65" s="2220"/>
      <c r="AW65" s="2220"/>
      <c r="AX65" s="2220"/>
      <c r="AY65" s="2220"/>
      <c r="AZ65" s="2220"/>
      <c r="BA65" s="2220"/>
      <c r="BB65" s="2220"/>
      <c r="BC65" s="2220"/>
    </row>
    <row r="66" spans="15:55" ht="14.25" hidden="1" customHeight="1">
      <c r="O66" s="464"/>
      <c r="T66" s="1312"/>
      <c r="U66" s="1312"/>
      <c r="V66" s="1312"/>
      <c r="W66" s="1312"/>
      <c r="X66" s="1312"/>
      <c r="Y66" s="1312"/>
      <c r="Z66" s="1312"/>
      <c r="AA66" s="1312"/>
      <c r="AB66" s="1312"/>
      <c r="AC66" s="1312"/>
      <c r="AD66" s="1312"/>
      <c r="AE66" s="1312"/>
      <c r="AF66" s="1312"/>
      <c r="AG66" s="1312"/>
      <c r="AH66" s="1312"/>
      <c r="AI66" s="1312"/>
      <c r="AJ66" s="1312"/>
      <c r="AK66" s="1312"/>
      <c r="AL66" s="1312"/>
      <c r="AM66" s="1312"/>
      <c r="AN66" s="1312"/>
      <c r="AO66" s="1312"/>
      <c r="AP66" s="1312"/>
      <c r="AQ66" s="1312"/>
      <c r="AR66" s="1312"/>
      <c r="AS66" s="1312"/>
      <c r="AT66" s="1312"/>
      <c r="AU66" s="1312"/>
      <c r="AV66" s="1312"/>
      <c r="AW66" s="1312"/>
      <c r="AX66" s="1312"/>
      <c r="AY66" s="1312"/>
      <c r="AZ66" s="1312"/>
      <c r="BA66" s="1312"/>
      <c r="BB66" s="1312"/>
      <c r="BC66" s="1312"/>
    </row>
    <row r="67" spans="15:55" ht="18.75" hidden="1" customHeight="1">
      <c r="O67" s="464"/>
      <c r="S67" s="1126" t="s">
        <v>1511</v>
      </c>
      <c r="T67" s="2220" t="s">
        <v>1677</v>
      </c>
      <c r="U67" s="2220"/>
      <c r="V67" s="2220"/>
      <c r="W67" s="2220"/>
      <c r="X67" s="2220"/>
      <c r="Y67" s="2220"/>
      <c r="Z67" s="2220"/>
      <c r="AA67" s="2220"/>
      <c r="AB67" s="2220"/>
      <c r="AC67" s="2220"/>
      <c r="AD67" s="2220"/>
      <c r="AE67" s="2220"/>
      <c r="AF67" s="2220"/>
      <c r="AG67" s="2220"/>
      <c r="AH67" s="2220"/>
      <c r="AI67" s="2220"/>
      <c r="AJ67" s="2220"/>
      <c r="AK67" s="2220"/>
      <c r="AL67" s="2220"/>
      <c r="AM67" s="2220"/>
      <c r="AN67" s="2220"/>
      <c r="AO67" s="2220"/>
      <c r="AP67" s="2220"/>
      <c r="AQ67" s="2220"/>
      <c r="AR67" s="2220"/>
      <c r="AS67" s="2220"/>
      <c r="AT67" s="2220"/>
      <c r="AU67" s="2220"/>
      <c r="AV67" s="2220"/>
      <c r="AW67" s="2220"/>
      <c r="AX67" s="2220"/>
      <c r="AY67" s="2220"/>
      <c r="AZ67" s="2220"/>
      <c r="BA67" s="2220"/>
      <c r="BB67" s="2220"/>
      <c r="BC67" s="2220"/>
    </row>
    <row r="68" spans="15:55" ht="14.25" customHeight="1">
      <c r="O68" s="464"/>
    </row>
  </sheetData>
  <sheetProtection formatColumns="0" formatRows="0" insertRows="0" deleteColumns="0" deleteRows="0" sort="0" autoFilter="0"/>
  <mergeCells count="122">
    <mergeCell ref="E2:E18"/>
    <mergeCell ref="V2:AC2"/>
    <mergeCell ref="AD2:BB2"/>
    <mergeCell ref="F3:F17"/>
    <mergeCell ref="V3:AC3"/>
    <mergeCell ref="AD3:BB3"/>
    <mergeCell ref="G4:G16"/>
    <mergeCell ref="V4:AC4"/>
    <mergeCell ref="AD4:BB4"/>
    <mergeCell ref="H5:H15"/>
    <mergeCell ref="AM8:AM9"/>
    <mergeCell ref="AN8:AN9"/>
    <mergeCell ref="AO8:AO9"/>
    <mergeCell ref="AP8:AP9"/>
    <mergeCell ref="AD8:AD12"/>
    <mergeCell ref="V5:AC5"/>
    <mergeCell ref="AD5:BB5"/>
    <mergeCell ref="I6:I14"/>
    <mergeCell ref="P6:P14"/>
    <mergeCell ref="V6:AC6"/>
    <mergeCell ref="AD6:BB6"/>
    <mergeCell ref="J7:J13"/>
    <mergeCell ref="Q7:Q13"/>
    <mergeCell ref="V7:AC7"/>
    <mergeCell ref="AD7:BB7"/>
    <mergeCell ref="K8:K12"/>
    <mergeCell ref="R8:R12"/>
    <mergeCell ref="S8:S12"/>
    <mergeCell ref="T8:T12"/>
    <mergeCell ref="AH8:AH11"/>
    <mergeCell ref="AI8:AI10"/>
    <mergeCell ref="AJ8:AJ10"/>
    <mergeCell ref="S28:AZ28"/>
    <mergeCell ref="S29:AZ29"/>
    <mergeCell ref="BC8:BC13"/>
    <mergeCell ref="AK8:AK10"/>
    <mergeCell ref="AL8:AL10"/>
    <mergeCell ref="AE8:AE11"/>
    <mergeCell ref="AF8:AF11"/>
    <mergeCell ref="AG8:AG11"/>
    <mergeCell ref="S31:T31"/>
    <mergeCell ref="V31:AB31"/>
    <mergeCell ref="AD31:AZ31"/>
    <mergeCell ref="K52:K56"/>
    <mergeCell ref="S52:S56"/>
    <mergeCell ref="S32:T32"/>
    <mergeCell ref="V32:AB32"/>
    <mergeCell ref="AD32:AZ32"/>
    <mergeCell ref="S36:T36"/>
    <mergeCell ref="V36:AB36"/>
    <mergeCell ref="AD36:AZ36"/>
    <mergeCell ref="S37:T37"/>
    <mergeCell ref="V37:AB37"/>
    <mergeCell ref="AD37:AZ37"/>
    <mergeCell ref="S33:T33"/>
    <mergeCell ref="V33:AB33"/>
    <mergeCell ref="AD33:AZ33"/>
    <mergeCell ref="S34:T34"/>
    <mergeCell ref="V34:AB34"/>
    <mergeCell ref="AD34:AZ34"/>
    <mergeCell ref="V39:AC39"/>
    <mergeCell ref="AD39:BA39"/>
    <mergeCell ref="S40:BB40"/>
    <mergeCell ref="AA45:AB45"/>
    <mergeCell ref="AY45:AZ45"/>
    <mergeCell ref="AD50:BB50"/>
    <mergeCell ref="BC40:BC44"/>
    <mergeCell ref="S41:S44"/>
    <mergeCell ref="T41:T44"/>
    <mergeCell ref="AC41:AC44"/>
    <mergeCell ref="AD41:AG44"/>
    <mergeCell ref="AH41:AK44"/>
    <mergeCell ref="X42:Y43"/>
    <mergeCell ref="V41:AB41"/>
    <mergeCell ref="AP41:AS44"/>
    <mergeCell ref="AT41:AZ41"/>
    <mergeCell ref="AT42:AU43"/>
    <mergeCell ref="AV42:AW43"/>
    <mergeCell ref="AX42:AZ43"/>
    <mergeCell ref="AA44:AB44"/>
    <mergeCell ref="AY44:AZ44"/>
    <mergeCell ref="AL41:AO44"/>
    <mergeCell ref="BA41:BA44"/>
    <mergeCell ref="BB41:BB44"/>
    <mergeCell ref="V42:W43"/>
    <mergeCell ref="Z42:AB43"/>
    <mergeCell ref="E46:E62"/>
    <mergeCell ref="V46:AC46"/>
    <mergeCell ref="AD46:BB46"/>
    <mergeCell ref="F47:F61"/>
    <mergeCell ref="V47:AC47"/>
    <mergeCell ref="AM52:AM53"/>
    <mergeCell ref="AN52:AN53"/>
    <mergeCell ref="AO52:AO53"/>
    <mergeCell ref="AP52:AP53"/>
    <mergeCell ref="AD52:AD56"/>
    <mergeCell ref="G48:G60"/>
    <mergeCell ref="V48:AC48"/>
    <mergeCell ref="AD48:BB48"/>
    <mergeCell ref="H49:H59"/>
    <mergeCell ref="V49:AC49"/>
    <mergeCell ref="AD49:BB49"/>
    <mergeCell ref="AD47:BB47"/>
    <mergeCell ref="I50:I58"/>
    <mergeCell ref="P50:P58"/>
    <mergeCell ref="V50:AC50"/>
    <mergeCell ref="J51:J57"/>
    <mergeCell ref="Q51:Q57"/>
    <mergeCell ref="V51:AC51"/>
    <mergeCell ref="AD51:BB51"/>
    <mergeCell ref="T67:BC67"/>
    <mergeCell ref="AK52:AK54"/>
    <mergeCell ref="AL52:AL54"/>
    <mergeCell ref="AE52:AE55"/>
    <mergeCell ref="AF52:AF55"/>
    <mergeCell ref="AG52:AG55"/>
    <mergeCell ref="AH52:AH55"/>
    <mergeCell ref="AI52:AI54"/>
    <mergeCell ref="AJ52:AJ54"/>
    <mergeCell ref="BC52:BC57"/>
    <mergeCell ref="T52:T56"/>
    <mergeCell ref="T65:BC65"/>
  </mergeCells>
  <dataValidations count="9">
    <dataValidation allowBlank="1" sqref="S65591:BC65597 S983095:BC983101 S917559:BC917565 S852023:BC852029 S786487:BC786493 S720951:BC720957 S655415:BC655421 S589879:BC589885 S524343:BC524349 S458807:BC458813 S393271:BC393277 S327735:BC327741 S262199:BC262205 S196663:BC196669 S131127:BC131133"/>
    <dataValidation type="list" allowBlank="1" showInputMessage="1" errorTitle="Ошибка" error="Выберите значение из списка" prompt="Выберите значение из списка" sqref="V983092:BB983092 V917556:BB917556 V852020:BB852020 V786484:BB786484 V720948:BB720948 V655412:BB655412 V589876:BB589876 V524340:BB524340 V458804:BB458804 V393268:BB393268 V327732:BB327732 V262196:BB262196 V196660:BB196660 V131124:BB131124 V65588:BB65588">
      <formula1>kind_of_cons</formula1>
    </dataValidation>
    <dataValidation type="decimal" allowBlank="1" showErrorMessage="1" errorTitle="Ошибка" error="Допускается ввод только действительных чисел!" sqref="AO52:AO53 AG8:AG11 AO8:AO9 AG52:AG55">
      <formula1>-9.99999999999999E+23</formula1>
      <formula2>9.99999999999999E+23</formula2>
    </dataValidation>
    <dataValidation allowBlank="1" showInputMessage="1" showErrorMessage="1" prompt="Для выбора выполните двойной щелчок левой клавиши мыши по соответствующей ячейке." sqref="AA65589 AA131125 AA196661 AA262197 AA327733 AA393269 AA458805 AA524341 AA589877 AA655413 AA720949 AA786485 AA852021 AA917557 AA983093 AC131125 AC458805 AC196661 AC262197 AC327733 AC393269 AC524341 AC589877 AC655413 AC720949 AC786485 AC852021 AC917557 AC983093 AC65589 AH52:AH53 AY8 AP52 AK52:AL53 AA8 AY65589 AY131125 AY196661 AY262197 AY327733 AY393269 AY458805 AY524341 AY589877 AY655413 AY720949 AY786485 AY852021 AY917557 AY983093 BA458805 BA196661 BA262197 BA327733 BA393269 BA524341 BA589877 BA655413 BA720949 BA786485 BA852021 BA917557 BA983093 BA65589 BA52 AC8:AD8 BA20 BA8 AY52 AK8:AL9 AD20 AG20:AH20 AK20:AL20 AP20 AY20 AH8:AH9 AP8 BA131125 AC52:AD52 AA52"/>
    <dataValidation type="textLength" operator="lessThanOrEqual" allowBlank="1" showInputMessage="1" showErrorMessage="1" errorTitle="Ошибка" error="Допускается ввод не более 900 символов!" sqref="BC65583:BC65590 BC131119:BC131126 BC196655:BC196662 BC262191:BC262198 BC327727:BC327734 BC393263:BC393270 BC458799:BC458806 BC524335:BC524342 BC589871:BC589878 BC655407:BC655414 BC720943:BC720950 BC786479:BC786486 BC852015:BC852022 BC917551:BC917558 BC983087:BC983094 AS8 T8:T12 AS52 T52:T56">
      <formula1>900</formula1>
    </dataValidation>
    <dataValidation allowBlank="1" promptTitle="checkPeriodRange" sqref="W131126 W196662 W262198 W327734 W393270 W458806 W524342 W589878 W655414 W720950 W786486 W852022 W917558 W983094 AW56 AU12 BB12 AW65590 AW131126 AW196662 AW262198 AW327734 AW393270 AW458806 AW524342 AW589878 AW655414 AW720950 AW786486 AW852022 AW917558 AW983094 Y65590 Y56 W65590 Y131126 Y196662 Y262198 Y327734 Y393270 Y458806 Y524342 Y589878 Y655414 Y720950 Y786486 Y852022 Y917558 Y983094 AU56 Y12 BB56 W12 AW12 W56"/>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9 Z131125 Z196661 Z262197 Z327733 Z393269 Z458805 Z524341 Z589877 Z655413 Z720949 Z786485 Z852021 Z917557 Z983093 AB65589 AB131125 AB196661 AB262197 AB327733 AB393269 AB458805 AB524341 AB589877 AB655413 AB720949 AB786485 AB852021 AB917557 AB983093 Z8 AB8 AX65589 AX131125 AX196661 AX262197 AX327733 AX393269 AX458805 AX524341 AX589877 AX655413 AX720949 AX786485 AX852021 AX917557 AX983093 AZ65589 AZ131125 AZ196661 AZ262197 AZ327733 AZ393269 AZ458805 AZ524341 AZ589877 AZ655413 AZ720949 AZ786485 AZ852021 AZ917557 AZ983093 AX52 AX20 AZ8 AZ52 AX8 AZ20 Z52 AB52"/>
    <dataValidation type="list" allowBlank="1" showInputMessage="1" showErrorMessage="1" errorTitle="Ошибка" error="Выберите значение из списка" sqref="AD917555:AS917555 AD983091:AS983091 AD65587:AS65587 AD131123:AS131123 AD196659:AS196659 AD262195:AS262195 AD327731:AS327731 AD393267:AS393267 AD458803:AS458803 AD524339:AS524339 AD589875:AS589875 AD655411:AS655411 AD720947:AS720947 AD786483:AS786483 AD852019:AS852019">
      <formula1>kind_of_scheme_in</formula1>
    </dataValidation>
    <dataValidation type="list" allowBlank="1" showInputMessage="1" showErrorMessage="1" errorTitle="Ошибка" error="Выберите значение из списка" sqref="T65589 T131125 T196661 T262197 T327733 T393269 T458805 T524341 T589877 T655413 T720949 T786485 T852021 T917557 T983093">
      <formula1>kind_of_heat_transfer</formula1>
    </dataValidation>
  </dataValidation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CCCCFF"/>
  </sheetPr>
  <dimension ref="A1:AL16"/>
  <sheetViews>
    <sheetView showGridLines="0" topLeftCell="C3" zoomScale="90" workbookViewId="0">
      <selection activeCell="M13" sqref="M13"/>
    </sheetView>
  </sheetViews>
  <sheetFormatPr defaultColWidth="9.140625" defaultRowHeight="11.25" customHeight="1"/>
  <cols>
    <col min="1" max="1" width="6.42578125" style="1933" hidden="1" customWidth="1"/>
    <col min="2" max="2" width="2" style="1933" hidden="1" customWidth="1"/>
    <col min="3" max="3" width="3.7109375" style="1933" customWidth="1"/>
    <col min="4" max="4" width="4.28515625" style="1933" customWidth="1"/>
    <col min="5" max="5" width="45" style="1933" customWidth="1"/>
    <col min="6" max="6" width="6.42578125" style="1933" customWidth="1"/>
    <col min="7" max="7" width="4.42578125" style="1933" customWidth="1"/>
    <col min="8" max="8" width="5.5703125" style="1933" customWidth="1"/>
    <col min="9" max="9" width="52.85546875" style="1933" customWidth="1"/>
    <col min="10" max="10" width="7" style="1933" customWidth="1"/>
    <col min="11" max="11" width="3.7109375" style="1933" customWidth="1"/>
    <col min="12" max="12" width="6.28515625" style="1933" customWidth="1"/>
    <col min="13" max="13" width="56.28515625" style="1933" customWidth="1"/>
    <col min="14" max="14" width="9.140625" style="1768"/>
    <col min="15" max="20" width="9.140625" style="1748" hidden="1"/>
    <col min="21" max="24" width="9.140625" style="1918" hidden="1"/>
    <col min="25" max="37" width="9.140625" style="1768" hidden="1"/>
    <col min="38" max="38" width="9.140625" style="1768"/>
  </cols>
  <sheetData>
    <row r="1" spans="1:38" ht="11.25" hidden="1" customHeight="1"/>
    <row r="2" spans="1:38" ht="11.25" hidden="1" customHeight="1"/>
    <row r="4" spans="1:38" ht="34.5" customHeight="1">
      <c r="A4" s="511"/>
      <c r="B4" s="511"/>
      <c r="D4" s="2000" t="str">
        <f>Титульный!E5</f>
        <v>Информация о показателях финансово-хозяйственной деятельности, об основных потребительских характеристиках регулируемых товаров и услуг, об инвестиционных программах</v>
      </c>
      <c r="E4" s="2001"/>
      <c r="F4" s="2001"/>
      <c r="G4" s="2001"/>
      <c r="H4" s="2001"/>
      <c r="I4" s="2002"/>
      <c r="J4" s="510"/>
      <c r="K4" s="510"/>
      <c r="L4" s="510"/>
      <c r="M4" s="510"/>
    </row>
    <row r="5" spans="1:38" s="1637" customFormat="1" ht="15" customHeight="1">
      <c r="A5" s="511"/>
      <c r="B5" s="511"/>
      <c r="C5" s="511"/>
      <c r="D5" s="2003" t="str">
        <f>IF(org=0,"Не определено",org)</f>
        <v>МУП г. Астрахани "Коммунэнерго"</v>
      </c>
      <c r="E5" s="2004"/>
      <c r="F5" s="2004"/>
      <c r="G5" s="2004"/>
      <c r="H5" s="2004"/>
      <c r="I5" s="2005"/>
      <c r="J5" s="512"/>
      <c r="K5" s="512"/>
      <c r="L5" s="512"/>
      <c r="M5" s="512"/>
      <c r="N5" s="512"/>
      <c r="O5" s="768"/>
      <c r="P5" s="768"/>
      <c r="Q5" s="768"/>
      <c r="R5" s="768"/>
      <c r="S5" s="768"/>
      <c r="T5" s="768"/>
      <c r="U5" s="1142"/>
      <c r="V5" s="1142"/>
      <c r="W5" s="1142"/>
      <c r="X5" s="1142"/>
      <c r="Y5" s="512"/>
      <c r="Z5" s="512"/>
      <c r="AA5" s="512"/>
      <c r="AB5" s="512"/>
      <c r="AC5" s="512"/>
      <c r="AD5" s="512"/>
      <c r="AE5" s="512"/>
      <c r="AF5" s="512"/>
      <c r="AG5" s="512"/>
      <c r="AH5" s="512"/>
      <c r="AI5" s="512"/>
      <c r="AJ5" s="512"/>
      <c r="AK5" s="512"/>
      <c r="AL5" s="512"/>
    </row>
    <row r="6" spans="1:38" s="1637" customFormat="1" ht="6" customHeight="1">
      <c r="A6" s="1992"/>
      <c r="B6" s="1992"/>
      <c r="C6" s="1992"/>
      <c r="D6" s="1992"/>
      <c r="E6" s="1992"/>
      <c r="F6" s="1992"/>
      <c r="G6" s="513"/>
      <c r="H6" s="513"/>
      <c r="I6" s="513"/>
      <c r="J6" s="513"/>
      <c r="K6" s="513"/>
      <c r="N6" s="515"/>
      <c r="O6" s="1282"/>
      <c r="P6" s="1282"/>
      <c r="Q6" s="1282"/>
      <c r="R6" s="1282"/>
      <c r="S6" s="1282"/>
      <c r="T6" s="1282"/>
      <c r="U6" s="1144"/>
      <c r="V6" s="1144"/>
      <c r="W6" s="1144"/>
      <c r="X6" s="1144"/>
      <c r="Y6" s="515"/>
      <c r="Z6" s="515"/>
      <c r="AA6" s="515"/>
      <c r="AB6" s="515"/>
      <c r="AC6" s="515"/>
      <c r="AD6" s="515"/>
      <c r="AE6" s="515"/>
      <c r="AF6" s="515"/>
      <c r="AG6" s="515"/>
      <c r="AH6" s="515"/>
      <c r="AI6" s="515"/>
      <c r="AJ6" s="515"/>
      <c r="AK6" s="515"/>
      <c r="AL6" s="515"/>
    </row>
    <row r="7" spans="1:38" ht="45.75" hidden="1" customHeight="1">
      <c r="E7" s="2010" t="str">
        <f>"1. В случае дифференциации раскрываемой информации по системам "&amp;TEMPLATE_SPHERE_RUS&amp;" для каждой системы "&amp;TEMPLATE_SPHERE_RUS&amp;"должна быть указана территория, в которую входят только те муниципальные районы и муниципальные образования, на которой расположена данная система. На веб-портале РИ системы "&amp;TEMPLATE_SPHERE_RUS&amp;"будут отображены во всех МР/МО, входящих в указанную для них территорию.
2. Для каждого вида деятельности также необходимо указывать только те территории, на которых осуществляется данный вид деятельности."</f>
        <v>1. В случае дифференциации раскрываемой информации по системам горячего водоснабжения для каждой системы горячего водоснабжениядолжна быть указана территория, в которую входят только те муниципальные районы и муниципальные образования, на которой расположена данная система. На веб-портале РИ системы горячего водоснабжениябудут отображены во всех МР/МО, входящих в указанную для них территорию.
2. Для каждого вида деятельности также необходимо указывать только те территории, на которых осуществляется данный вид деятельности.</v>
      </c>
      <c r="F7" s="2011"/>
      <c r="G7" s="2011"/>
      <c r="H7" s="2011"/>
      <c r="I7" s="2011"/>
      <c r="J7" s="2011"/>
      <c r="K7" s="2011"/>
      <c r="L7" s="2011"/>
      <c r="M7" s="2011"/>
    </row>
    <row r="8" spans="1:38" s="1637" customFormat="1" ht="6" customHeight="1">
      <c r="A8" s="516"/>
      <c r="B8" s="516"/>
      <c r="C8" s="516"/>
      <c r="D8" s="516"/>
      <c r="E8" s="516"/>
      <c r="F8" s="516"/>
      <c r="G8" s="516"/>
      <c r="H8" s="516"/>
      <c r="I8" s="516"/>
      <c r="J8" s="516"/>
      <c r="K8" s="516"/>
      <c r="L8" s="516"/>
      <c r="M8" s="514"/>
      <c r="N8" s="512"/>
      <c r="O8" s="768"/>
      <c r="P8" s="768"/>
      <c r="Q8" s="768"/>
      <c r="R8" s="768"/>
      <c r="S8" s="768"/>
      <c r="T8" s="768"/>
      <c r="U8" s="1142"/>
      <c r="V8" s="1142"/>
      <c r="W8" s="1142"/>
      <c r="X8" s="1142"/>
      <c r="Y8" s="512"/>
      <c r="Z8" s="512"/>
      <c r="AA8" s="512"/>
      <c r="AB8" s="512"/>
      <c r="AC8" s="512"/>
      <c r="AD8" s="512"/>
      <c r="AE8" s="512"/>
      <c r="AF8" s="512"/>
      <c r="AG8" s="512"/>
      <c r="AH8" s="512"/>
      <c r="AI8" s="512"/>
      <c r="AJ8" s="512"/>
      <c r="AK8" s="512"/>
      <c r="AL8" s="512"/>
    </row>
    <row r="9" spans="1:38" ht="18" customHeight="1">
      <c r="A9" s="2006"/>
      <c r="B9" s="250"/>
      <c r="C9" s="250"/>
      <c r="D9" s="2007" t="s">
        <v>104</v>
      </c>
      <c r="E9" s="2007"/>
      <c r="F9" s="2008" t="s">
        <v>105</v>
      </c>
      <c r="G9" s="2009"/>
      <c r="H9" s="2009"/>
      <c r="I9" s="2009"/>
      <c r="J9" s="2012" t="s">
        <v>106</v>
      </c>
      <c r="K9" s="2012"/>
      <c r="L9" s="2012"/>
      <c r="M9" s="2012"/>
    </row>
    <row r="10" spans="1:38" ht="22.5" customHeight="1">
      <c r="A10" s="2006"/>
      <c r="B10" s="517"/>
      <c r="C10" s="453"/>
      <c r="D10" s="451" t="s">
        <v>87</v>
      </c>
      <c r="E10" s="451" t="s">
        <v>88</v>
      </c>
      <c r="F10" s="451" t="s">
        <v>107</v>
      </c>
      <c r="G10" s="2013" t="s">
        <v>87</v>
      </c>
      <c r="H10" s="2014"/>
      <c r="I10" s="451" t="s">
        <v>88</v>
      </c>
      <c r="J10" s="451" t="s">
        <v>107</v>
      </c>
      <c r="K10" s="2013" t="s">
        <v>87</v>
      </c>
      <c r="L10" s="2014"/>
      <c r="M10" s="451" t="s">
        <v>88</v>
      </c>
      <c r="N10" s="1486"/>
    </row>
    <row r="11" spans="1:38" s="1933" customFormat="1" ht="11.25" hidden="1" customHeight="1">
      <c r="A11" s="518"/>
      <c r="B11" s="518"/>
      <c r="C11" s="518"/>
      <c r="D11" s="519" t="s">
        <v>108</v>
      </c>
      <c r="E11" s="519" t="s">
        <v>109</v>
      </c>
      <c r="F11" s="519" t="s">
        <v>89</v>
      </c>
      <c r="G11" s="1996" t="s">
        <v>90</v>
      </c>
      <c r="H11" s="1997"/>
      <c r="I11" s="519" t="s">
        <v>110</v>
      </c>
      <c r="J11" s="519" t="s">
        <v>91</v>
      </c>
      <c r="K11" s="1998" t="s">
        <v>92</v>
      </c>
      <c r="L11" s="1999"/>
      <c r="M11" s="519" t="s">
        <v>111</v>
      </c>
      <c r="N11" s="1485"/>
      <c r="O11" s="1281"/>
      <c r="P11" s="1283"/>
      <c r="Q11" s="1283"/>
      <c r="R11" s="1283"/>
      <c r="S11" s="1283"/>
      <c r="T11" s="1283"/>
      <c r="U11" s="1145"/>
      <c r="V11" s="1145"/>
      <c r="W11" s="1145"/>
      <c r="X11" s="1145"/>
      <c r="Y11" s="520"/>
      <c r="Z11" s="520"/>
      <c r="AA11" s="520"/>
      <c r="AB11" s="520"/>
      <c r="AC11" s="520"/>
      <c r="AD11" s="520"/>
      <c r="AE11" s="520"/>
      <c r="AF11" s="520"/>
      <c r="AG11" s="520"/>
      <c r="AH11" s="520"/>
      <c r="AI11" s="520"/>
      <c r="AJ11" s="520"/>
      <c r="AK11" s="520"/>
      <c r="AL11" s="520"/>
    </row>
    <row r="12" spans="1:38" ht="0.75" customHeight="1">
      <c r="A12" s="521"/>
      <c r="B12" s="522"/>
      <c r="C12" s="522"/>
      <c r="D12" s="523"/>
      <c r="E12" s="294"/>
      <c r="F12" s="524"/>
      <c r="G12" s="944"/>
      <c r="H12" s="944"/>
      <c r="I12" s="524"/>
      <c r="J12" s="524"/>
      <c r="K12" s="102"/>
      <c r="L12" s="294"/>
      <c r="M12" s="525"/>
      <c r="N12" s="1486"/>
      <c r="O12" s="1281" t="s">
        <v>112</v>
      </c>
      <c r="P12" s="1281" t="s">
        <v>113</v>
      </c>
      <c r="Q12" s="1281" t="s">
        <v>114</v>
      </c>
      <c r="R12" s="1281" t="s">
        <v>115</v>
      </c>
    </row>
    <row r="13" spans="1:38" s="1933" customFormat="1" ht="15" customHeight="1">
      <c r="A13" s="211"/>
      <c r="B13" s="211"/>
      <c r="C13" s="454"/>
      <c r="D13" s="2018" t="s">
        <v>108</v>
      </c>
      <c r="E13" s="2019" t="str">
        <f>INDEX(VD_NAME_LIST,MATCH("4189702",VD_ID_LIST,0))</f>
        <v>Горячее водоснабжение</v>
      </c>
      <c r="F13" s="2022" t="s">
        <v>55</v>
      </c>
      <c r="G13" s="2023"/>
      <c r="H13" s="2024">
        <v>1</v>
      </c>
      <c r="I13" s="2015" t="s">
        <v>17</v>
      </c>
      <c r="J13" s="2017" t="s">
        <v>62</v>
      </c>
      <c r="K13" s="526"/>
      <c r="L13" s="455" t="s">
        <v>108</v>
      </c>
      <c r="M13" s="1736" t="s">
        <v>116</v>
      </c>
      <c r="N13" s="716"/>
      <c r="O13" s="1284" t="s">
        <v>117</v>
      </c>
      <c r="P13" s="1281" t="str">
        <f>$E$13</f>
        <v>Горячее водоснабжение</v>
      </c>
      <c r="Q13" s="1281" t="str">
        <f>IF($F$13="нет","без дифференциации",$I$13)</f>
        <v>без дифференциации</v>
      </c>
      <c r="R13" s="1281" t="str">
        <f>IF($J$13="нет","без дифференциации",M13)</f>
        <v>Котельная № Т-29</v>
      </c>
      <c r="S13" s="1284"/>
      <c r="T13" s="1284"/>
      <c r="U13" s="1146"/>
      <c r="V13" s="1146" t="s">
        <v>118</v>
      </c>
      <c r="W13" s="1146"/>
      <c r="X13" s="1146"/>
      <c r="Y13" s="527" t="s">
        <v>119</v>
      </c>
      <c r="Z13" s="527">
        <v>1705000</v>
      </c>
      <c r="AA13" s="527"/>
      <c r="AB13" s="527"/>
      <c r="AC13" s="527"/>
      <c r="AD13" s="527"/>
      <c r="AE13" s="527"/>
      <c r="AF13" s="527"/>
      <c r="AG13" s="527"/>
      <c r="AH13" s="527"/>
      <c r="AI13" s="527"/>
      <c r="AJ13" s="527"/>
      <c r="AK13" s="527"/>
      <c r="AL13" s="527"/>
    </row>
    <row r="14" spans="1:38" s="1933" customFormat="1" ht="15" customHeight="1">
      <c r="A14" s="211"/>
      <c r="B14" s="211"/>
      <c r="C14" s="104"/>
      <c r="D14" s="2018"/>
      <c r="E14" s="2020"/>
      <c r="F14" s="2017"/>
      <c r="G14" s="2023"/>
      <c r="H14" s="2024"/>
      <c r="I14" s="2016" t="s">
        <v>17</v>
      </c>
      <c r="J14" s="2017"/>
      <c r="K14" s="355"/>
      <c r="L14" s="105"/>
      <c r="M14" s="528" t="s">
        <v>120</v>
      </c>
      <c r="N14" s="716"/>
      <c r="O14" s="1284"/>
      <c r="P14" s="1281"/>
      <c r="Q14" s="1281"/>
      <c r="R14" s="1281"/>
      <c r="S14" s="1284"/>
      <c r="T14" s="1284"/>
      <c r="U14" s="1146"/>
      <c r="V14" s="1146"/>
      <c r="W14" s="1146"/>
      <c r="X14" s="1146"/>
      <c r="Y14" s="527"/>
      <c r="Z14" s="527"/>
      <c r="AA14" s="527"/>
      <c r="AB14" s="527"/>
      <c r="AC14" s="527"/>
      <c r="AD14" s="527"/>
      <c r="AE14" s="527"/>
      <c r="AF14" s="527"/>
      <c r="AG14" s="527"/>
      <c r="AH14" s="527"/>
      <c r="AI14" s="527"/>
      <c r="AJ14" s="527"/>
      <c r="AK14" s="527"/>
      <c r="AL14" s="527"/>
    </row>
    <row r="15" spans="1:38" s="1933" customFormat="1" ht="15" customHeight="1">
      <c r="A15" s="211"/>
      <c r="B15" s="211"/>
      <c r="C15" s="104"/>
      <c r="D15" s="2018"/>
      <c r="E15" s="2021"/>
      <c r="F15" s="2017"/>
      <c r="G15" s="945"/>
      <c r="H15" s="946"/>
      <c r="I15" s="507" t="s">
        <v>121</v>
      </c>
      <c r="J15" s="105"/>
      <c r="K15" s="105"/>
      <c r="L15" s="105"/>
      <c r="M15" s="529"/>
      <c r="N15" s="716"/>
      <c r="O15" s="1284"/>
      <c r="P15" s="1281"/>
      <c r="Q15" s="1281"/>
      <c r="R15" s="1281"/>
      <c r="S15" s="1284"/>
      <c r="T15" s="1284"/>
      <c r="U15" s="1146"/>
      <c r="V15" s="1146"/>
      <c r="W15" s="1146"/>
      <c r="X15" s="1146"/>
      <c r="Y15" s="527"/>
      <c r="Z15" s="527"/>
      <c r="AA15" s="527"/>
      <c r="AB15" s="527"/>
      <c r="AC15" s="527"/>
      <c r="AD15" s="527"/>
      <c r="AE15" s="527"/>
      <c r="AF15" s="527"/>
      <c r="AG15" s="527"/>
      <c r="AH15" s="527"/>
      <c r="AI15" s="527"/>
      <c r="AJ15" s="527"/>
      <c r="AK15" s="527"/>
      <c r="AL15" s="527"/>
    </row>
    <row r="16" spans="1:38" ht="15" customHeight="1">
      <c r="A16" s="530"/>
      <c r="B16" s="66"/>
      <c r="C16" s="711"/>
      <c r="D16" s="355"/>
      <c r="E16" s="498" t="s">
        <v>122</v>
      </c>
      <c r="F16" s="105"/>
      <c r="G16" s="105"/>
      <c r="H16" s="105"/>
      <c r="I16" s="105"/>
      <c r="J16" s="105"/>
      <c r="K16" s="105" t="s">
        <v>17</v>
      </c>
      <c r="L16" s="105"/>
      <c r="M16" s="529"/>
      <c r="N16" s="1486"/>
    </row>
  </sheetData>
  <sheetProtection formatColumns="0" formatRows="0" insertRows="0" deleteColumns="0" deleteRows="0" sort="0" autoFilter="0"/>
  <mergeCells count="19">
    <mergeCell ref="I13:I14"/>
    <mergeCell ref="J13:J14"/>
    <mergeCell ref="D13:D15"/>
    <mergeCell ref="E13:E15"/>
    <mergeCell ref="F13:F15"/>
    <mergeCell ref="G13:G14"/>
    <mergeCell ref="H13:H14"/>
    <mergeCell ref="G11:H11"/>
    <mergeCell ref="K11:L11"/>
    <mergeCell ref="D4:I4"/>
    <mergeCell ref="D5:I5"/>
    <mergeCell ref="A6:F6"/>
    <mergeCell ref="A9:A10"/>
    <mergeCell ref="D9:E9"/>
    <mergeCell ref="F9:I9"/>
    <mergeCell ref="E7:M7"/>
    <mergeCell ref="J9:M9"/>
    <mergeCell ref="G10:H10"/>
    <mergeCell ref="K10:L10"/>
  </mergeCells>
  <dataValidations count="1">
    <dataValidation type="textLength" operator="lessThan" allowBlank="1" showInputMessage="1" showErrorMessage="1" error="Допускается ввод не более 900 символов!" sqref="M13">
      <formula1>900</formula1>
    </dataValidation>
  </dataValidations>
  <pageMargins left="0.31496062992125984" right="0.31496062992125984" top="0.74803149606299213" bottom="0.74803149606299213" header="0.31496062992125984" footer="0.31496062992125984"/>
  <pageSetup paperSize="9" scale="80" orientation="landscape" r:id="rId1"/>
  <headerFooter>
    <oddHeader>&amp;L&amp;C&amp;R</oddHeader>
    <oddFooter>&amp;L&amp;C&amp;R</oddFooter>
    <evenHeader>&amp;L&amp;C&amp;R</evenHeader>
    <evenFooter>&amp;L&amp;C&amp;R</evenFooter>
  </headerFooter>
  <drawing r:id="rId2"/>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tint="-0.249977111117893"/>
  </sheetPr>
  <dimension ref="A1:AE303"/>
  <sheetViews>
    <sheetView showGridLines="0" topLeftCell="D79" zoomScale="90" workbookViewId="0">
      <selection activeCell="I60" sqref="I60"/>
    </sheetView>
  </sheetViews>
  <sheetFormatPr defaultColWidth="9.140625" defaultRowHeight="11.25" customHeight="1"/>
  <cols>
    <col min="1" max="1" width="10.7109375" style="1706" hidden="1" customWidth="1"/>
    <col min="2" max="2" width="16.85546875" style="1742" hidden="1" customWidth="1"/>
    <col min="3" max="3" width="5.5703125" style="1755" hidden="1" customWidth="1"/>
    <col min="4" max="4" width="3.7109375" style="1829" customWidth="1"/>
    <col min="5" max="5" width="7.7109375" style="1829" customWidth="1"/>
    <col min="6" max="6" width="54.5703125" style="1829" customWidth="1"/>
    <col min="7" max="7" width="10.42578125" style="1829" customWidth="1"/>
    <col min="8" max="8" width="40.7109375" style="1829" hidden="1" customWidth="1"/>
    <col min="9" max="9" width="40.7109375" style="1829" customWidth="1"/>
    <col min="10" max="10" width="102.85546875" style="1829" customWidth="1"/>
    <col min="11" max="11" width="9.7109375" style="1742" customWidth="1"/>
    <col min="12" max="12" width="5.28515625" style="1755" customWidth="1"/>
    <col min="13" max="13" width="3.7109375" style="1755" customWidth="1"/>
    <col min="14" max="17" width="3.7109375" style="1742" customWidth="1"/>
    <col min="18" max="18" width="10.5703125" style="1755" customWidth="1"/>
    <col min="19" max="19" width="34.7109375" style="1742" customWidth="1"/>
    <col min="20" max="20" width="9.42578125" style="1742" customWidth="1"/>
    <col min="21" max="21" width="9.140625" style="1711"/>
    <col min="22" max="26" width="9.140625" style="1742"/>
    <col min="27" max="31" width="9.140625" style="1721"/>
  </cols>
  <sheetData>
    <row r="1" spans="1:31" ht="11.25" hidden="1" customHeight="1"/>
    <row r="2" spans="1:31" ht="23.25" hidden="1" customHeight="1">
      <c r="B2" s="1992"/>
      <c r="C2" s="1041" t="s">
        <v>1714</v>
      </c>
      <c r="D2" s="1497"/>
      <c r="E2" s="473">
        <f>B2</f>
        <v>0</v>
      </c>
      <c r="F2" s="474"/>
      <c r="G2" s="1504" t="s">
        <v>1434</v>
      </c>
      <c r="H2" s="1504" t="s">
        <v>1434</v>
      </c>
      <c r="I2" s="1504" t="s">
        <v>1434</v>
      </c>
      <c r="J2" s="207" t="s">
        <v>1715</v>
      </c>
      <c r="K2" s="470"/>
    </row>
    <row r="3" spans="1:31" s="1755" customFormat="1" ht="0.75" hidden="1" customHeight="1">
      <c r="B3" s="1992"/>
      <c r="C3" s="1041"/>
      <c r="D3" s="475"/>
      <c r="E3" s="476"/>
      <c r="F3" s="477" t="s">
        <v>1716</v>
      </c>
      <c r="G3" s="478"/>
      <c r="H3" s="478">
        <f>H4*H5+H7</f>
        <v>0</v>
      </c>
      <c r="I3" s="478">
        <f>I4*I5+I6</f>
        <v>0</v>
      </c>
      <c r="J3" s="479"/>
    </row>
    <row r="4" spans="1:31" ht="23.25" hidden="1" customHeight="1">
      <c r="B4" s="1992"/>
      <c r="C4" s="1041"/>
      <c r="D4" s="1497"/>
      <c r="E4" s="473" t="str">
        <f>B2&amp;".1"</f>
        <v>.1</v>
      </c>
      <c r="F4" s="480" t="s">
        <v>1717</v>
      </c>
      <c r="G4" s="481"/>
      <c r="H4" s="468"/>
      <c r="I4" s="468"/>
      <c r="J4" s="207" t="s">
        <v>1718</v>
      </c>
      <c r="K4" s="470"/>
    </row>
    <row r="5" spans="1:31" ht="18.75" hidden="1" customHeight="1">
      <c r="B5" s="1992"/>
      <c r="C5" s="1041"/>
      <c r="D5" s="1497"/>
      <c r="E5" s="473" t="str">
        <f>B2&amp;".2"</f>
        <v>.2</v>
      </c>
      <c r="F5" s="480" t="s">
        <v>1719</v>
      </c>
      <c r="G5" s="1504" t="s">
        <v>1720</v>
      </c>
      <c r="H5" s="468"/>
      <c r="I5" s="468"/>
      <c r="J5" s="207"/>
      <c r="K5" s="470"/>
    </row>
    <row r="6" spans="1:31" ht="18.75" hidden="1" customHeight="1">
      <c r="B6" s="1992"/>
      <c r="C6" s="1041"/>
      <c r="D6" s="1497"/>
      <c r="E6" s="473" t="str">
        <f>B2&amp;".3"</f>
        <v>.3</v>
      </c>
      <c r="F6" s="480" t="s">
        <v>1721</v>
      </c>
      <c r="G6" s="1504" t="s">
        <v>1720</v>
      </c>
      <c r="H6" s="468"/>
      <c r="I6" s="468"/>
      <c r="J6" s="207"/>
      <c r="K6" s="470"/>
    </row>
    <row r="7" spans="1:31" ht="18.75" hidden="1" customHeight="1">
      <c r="B7" s="1992"/>
      <c r="C7" s="1041"/>
      <c r="D7" s="1497"/>
      <c r="E7" s="473" t="str">
        <f>B2&amp;".4"</f>
        <v>.4</v>
      </c>
      <c r="F7" s="480" t="s">
        <v>1722</v>
      </c>
      <c r="G7" s="1504" t="s">
        <v>1434</v>
      </c>
      <c r="H7" s="482"/>
      <c r="I7" s="482"/>
      <c r="J7" s="207"/>
      <c r="K7" s="470"/>
    </row>
    <row r="8" spans="1:31" s="1742" customFormat="1" ht="11.25" hidden="1" customHeight="1">
      <c r="A8" s="880"/>
      <c r="C8" s="1495"/>
      <c r="D8" s="464"/>
      <c r="H8" s="1034">
        <v>4</v>
      </c>
      <c r="I8" s="1034">
        <v>4</v>
      </c>
      <c r="L8" s="1495"/>
      <c r="M8" s="1495"/>
      <c r="R8" s="1495"/>
    </row>
    <row r="9" spans="1:31" s="1742" customFormat="1" ht="22.5" hidden="1" customHeight="1">
      <c r="A9" s="880"/>
      <c r="C9" s="1495"/>
      <c r="D9" s="465"/>
      <c r="E9" s="1506"/>
      <c r="F9" s="467"/>
      <c r="G9" s="1504" t="s">
        <v>1720</v>
      </c>
      <c r="H9" s="468"/>
      <c r="I9" s="468"/>
      <c r="J9" s="469" t="s">
        <v>1723</v>
      </c>
      <c r="K9" s="470"/>
      <c r="L9" s="1495"/>
      <c r="M9" s="1495"/>
      <c r="R9" s="1495"/>
      <c r="U9" s="471"/>
      <c r="AA9" s="1491"/>
      <c r="AB9" s="1491"/>
      <c r="AC9" s="1491"/>
      <c r="AD9" s="1491"/>
      <c r="AE9" s="1491"/>
    </row>
    <row r="10" spans="1:31" ht="11.25" hidden="1" customHeight="1"/>
    <row r="11" spans="1:31" ht="18.75" hidden="1" customHeight="1">
      <c r="D11" s="1497"/>
      <c r="E11" s="473"/>
      <c r="F11" s="467"/>
      <c r="G11" s="1504" t="s">
        <v>801</v>
      </c>
      <c r="H11" s="468"/>
      <c r="I11" s="468"/>
      <c r="J11" s="207" t="s">
        <v>1724</v>
      </c>
      <c r="K11" s="470"/>
    </row>
    <row r="12" spans="1:31" ht="11.25" hidden="1" customHeight="1"/>
    <row r="13" spans="1:31" ht="22.5" hidden="1" customHeight="1">
      <c r="D13" s="1497"/>
      <c r="E13" s="473"/>
      <c r="F13" s="467"/>
      <c r="G13" s="863" t="s">
        <v>1620</v>
      </c>
      <c r="H13" s="472"/>
      <c r="I13" s="472"/>
      <c r="J13" s="658" t="s">
        <v>1725</v>
      </c>
      <c r="K13" s="470"/>
    </row>
    <row r="14" spans="1:31" ht="11.25" hidden="1" customHeight="1"/>
    <row r="15" spans="1:31" ht="22.5" hidden="1" customHeight="1">
      <c r="D15" s="1497"/>
      <c r="E15" s="473"/>
      <c r="F15" s="467"/>
      <c r="G15" s="1504" t="s">
        <v>1726</v>
      </c>
      <c r="H15" s="472"/>
      <c r="I15" s="472"/>
      <c r="J15" s="207" t="s">
        <v>1727</v>
      </c>
      <c r="K15" s="470"/>
    </row>
    <row r="16" spans="1:31" ht="11.25" hidden="1" customHeight="1"/>
    <row r="17" spans="1:26" ht="22.5" hidden="1" customHeight="1">
      <c r="D17" s="1497"/>
      <c r="E17" s="473"/>
      <c r="F17" s="467"/>
      <c r="G17" s="1504" t="s">
        <v>1728</v>
      </c>
      <c r="H17" s="472"/>
      <c r="I17" s="472"/>
      <c r="J17" s="207" t="s">
        <v>1729</v>
      </c>
      <c r="K17" s="470"/>
    </row>
    <row r="18" spans="1:26" ht="11.25" hidden="1" customHeight="1"/>
    <row r="19" spans="1:26" s="1721" customFormat="1" ht="11.25" hidden="1" customHeight="1">
      <c r="A19" s="880"/>
      <c r="B19" s="1034"/>
      <c r="C19" s="1495"/>
      <c r="D19" s="288"/>
      <c r="J19" s="1491">
        <v>4</v>
      </c>
      <c r="K19" s="1034"/>
      <c r="L19" s="1495"/>
      <c r="M19" s="1495"/>
      <c r="N19" s="1034"/>
      <c r="O19" s="1034"/>
      <c r="P19" s="1034"/>
      <c r="Q19" s="1034"/>
      <c r="R19" s="1495"/>
      <c r="S19" s="1034"/>
      <c r="T19" s="1034"/>
      <c r="U19" s="471"/>
      <c r="V19" s="1034"/>
      <c r="W19" s="1034"/>
      <c r="X19" s="1034"/>
      <c r="Y19" s="1034"/>
      <c r="Z19" s="1034"/>
    </row>
    <row r="21" spans="1:26" ht="24" customHeight="1">
      <c r="E21" s="2000" t="str">
        <f>FHD_NAME_FORM</f>
        <v>Форма 5. Информация об основных показателях финансово-хозяйственной деятельности регулируемой организации, включая структуру основных производственных затрат (в части регулируемых видов деятельности в сфере горячего водоснабжения)</v>
      </c>
      <c r="F21" s="2001"/>
      <c r="G21" s="2001"/>
      <c r="H21" s="2001"/>
      <c r="I21" s="2002"/>
      <c r="J21" s="483"/>
    </row>
    <row r="22" spans="1:26" ht="24" customHeight="1">
      <c r="E22" s="2112" t="str">
        <f>IF(org=0,"Не определено",org)</f>
        <v>МУП г. Астрахани "Коммунэнерго"</v>
      </c>
      <c r="F22" s="2113"/>
      <c r="G22" s="2113"/>
      <c r="H22" s="2113"/>
      <c r="I22" s="2114"/>
    </row>
    <row r="23" spans="1:26" ht="11.25" customHeight="1">
      <c r="E23" s="1012"/>
      <c r="F23" s="1012"/>
      <c r="G23" s="1012"/>
      <c r="H23" s="1012"/>
      <c r="I23" s="1012"/>
    </row>
    <row r="24" spans="1:26" s="1755" customFormat="1" ht="0.75" customHeight="1">
      <c r="A24" s="1041"/>
      <c r="D24" s="1500"/>
      <c r="H24" s="785"/>
      <c r="I24" s="785" t="s">
        <v>117</v>
      </c>
    </row>
    <row r="25" spans="1:26" ht="11.25" customHeight="1">
      <c r="E25" s="624"/>
      <c r="F25" s="2295" t="s">
        <v>104</v>
      </c>
      <c r="G25" s="2296"/>
      <c r="H25" s="1510" t="str">
        <f>IF(H24="","",INDEX(DIFFERENTIATION_UNMERGE_VD,MATCH(H24,DIFFERENTIATION_ID_DIFF,0)))</f>
        <v/>
      </c>
      <c r="I25" s="1510" t="str">
        <f>IF(I24="","",INDEX(DIFFERENTIATION_UNMERGE_VD,MATCH(I24,DIFFERENTIATION_ID_DIFF,0)))</f>
        <v>Горячее водоснабжение</v>
      </c>
      <c r="J25" s="2007"/>
    </row>
    <row r="26" spans="1:26" ht="11.25" customHeight="1">
      <c r="E26" s="624"/>
      <c r="F26" s="2295" t="s">
        <v>1422</v>
      </c>
      <c r="G26" s="2296"/>
      <c r="H26" s="1510" t="str">
        <f>IF(H24="","",INDEX(DIFFERENTIATION_UNMERGE_AREA,MATCH(H24,DIFFERENTIATION_ID_DIFF,0)))</f>
        <v/>
      </c>
      <c r="I26" s="1510" t="str">
        <f>IF(I24="","",INDEX(DIFFERENTIATION_UNMERGE_AREA,MATCH(I24,DIFFERENTIATION_ID_DIFF,0)))</f>
        <v>без дифференциации</v>
      </c>
      <c r="J26" s="2007"/>
    </row>
    <row r="27" spans="1:26" ht="11.25" customHeight="1">
      <c r="E27" s="624"/>
      <c r="F27" s="2295" t="s">
        <v>1423</v>
      </c>
      <c r="G27" s="2296"/>
      <c r="H27" s="1510" t="str">
        <f>IF(H24="","",INDEX(DIFFERENTIATION_UNMERGE_SYSTEM,MATCH(H24,DIFFERENTIATION_ID_DIFF,0)))</f>
        <v/>
      </c>
      <c r="I27" s="1510" t="str">
        <f>IF(I24="","",INDEX(DIFFERENTIATION_UNMERGE_SYSTEM,MATCH(I24,DIFFERENTIATION_ID_DIFF,0)))</f>
        <v>Котельная № Т-29</v>
      </c>
      <c r="J27" s="2007"/>
    </row>
    <row r="28" spans="1:26" ht="11.25" customHeight="1">
      <c r="E28" s="2297" t="s">
        <v>292</v>
      </c>
      <c r="F28" s="2298"/>
      <c r="G28" s="2298"/>
      <c r="H28" s="1503"/>
      <c r="I28" s="1503"/>
      <c r="J28" s="2007"/>
    </row>
    <row r="29" spans="1:26" ht="22.5" customHeight="1">
      <c r="E29" s="1504" t="s">
        <v>87</v>
      </c>
      <c r="F29" s="1511" t="s">
        <v>294</v>
      </c>
      <c r="G29" s="1511" t="s">
        <v>1601</v>
      </c>
      <c r="H29" s="1511" t="s">
        <v>295</v>
      </c>
      <c r="I29" s="1511" t="s">
        <v>295</v>
      </c>
      <c r="J29" s="2007"/>
    </row>
    <row r="30" spans="1:26" ht="36.75" customHeight="1">
      <c r="D30" s="1497"/>
      <c r="E30" s="473">
        <f>FHD_NUM_P_1</f>
        <v>1</v>
      </c>
      <c r="F30" s="620" t="str">
        <f>FHD_P_1</f>
        <v>Выручка от регулируемых видов деятельности в сфере горячего водоснабжения</v>
      </c>
      <c r="G30" s="1504" t="s">
        <v>1720</v>
      </c>
      <c r="H30" s="484"/>
      <c r="I30" s="484">
        <v>263.35174999999998</v>
      </c>
      <c r="J30" s="207" t="str">
        <f>FHD_NOTE_P_1</f>
        <v>Указывается выручка с распределением по видам деятельности.</v>
      </c>
      <c r="K30" s="470"/>
    </row>
    <row r="31" spans="1:26" ht="36.75" customHeight="1">
      <c r="D31" s="1497"/>
      <c r="E31" s="473">
        <f>FHD_NUM_P_2</f>
        <v>2</v>
      </c>
      <c r="F31" s="620" t="str">
        <f>FHD_P_2</f>
        <v>Себестоимость производимых товаров (оказываемых услуг) по регулируемым видам деятельности в сфере горячего водоснабжения, включая:</v>
      </c>
      <c r="G31" s="1504" t="s">
        <v>1720</v>
      </c>
      <c r="H31" s="485">
        <f>SUMIF($K33:$K72,$K31,H33:H72)</f>
        <v>0</v>
      </c>
      <c r="I31" s="485">
        <f>SUMIF($K33:$K72,$K31,I33:I72)</f>
        <v>329.66954000000004</v>
      </c>
      <c r="J31" s="207" t="str">
        <f>FHD_NOTE_P_2</f>
        <v>Указывается суммарная себестоимость производимых товаров.</v>
      </c>
      <c r="K31" s="1495" t="s">
        <v>1730</v>
      </c>
    </row>
    <row r="32" spans="1:26" ht="36.75" customHeight="1">
      <c r="D32" s="1497"/>
      <c r="E32" s="473" t="str">
        <f>FHD_NUM_P_3</f>
        <v>2.1</v>
      </c>
      <c r="F32" s="848" t="str">
        <f>FHD_P_3</f>
        <v>Расходы на приобретаемую тепловую энергию (мощность), используемую для горячего водоснабжения</v>
      </c>
      <c r="G32" s="1504" t="s">
        <v>1720</v>
      </c>
      <c r="H32" s="484"/>
      <c r="I32" s="484">
        <v>0</v>
      </c>
      <c r="J32" s="207" t="str">
        <f>FHD_NOTE_P_3</f>
        <v/>
      </c>
      <c r="K32" s="1495" t="str">
        <f t="shared" ref="K32:K70" si="0">IF((LEN(E32)-LEN(SUBSTITUTE(E32,".","")))/LEN(".")=1,"p","")</f>
        <v>p</v>
      </c>
    </row>
    <row r="33" spans="1:31" ht="36.75" hidden="1" customHeight="1">
      <c r="A33" s="2329" t="s">
        <v>1731</v>
      </c>
      <c r="D33" s="1497"/>
      <c r="E33" s="473" t="str">
        <f>FHD_NUM_P_4</f>
        <v/>
      </c>
      <c r="F33" s="848" t="str">
        <f>FHD_P_4</f>
        <v/>
      </c>
      <c r="G33" s="1504" t="s">
        <v>1720</v>
      </c>
      <c r="H33" s="485">
        <f>SUMIF($F34:$F40,$F3,H34:H40)</f>
        <v>0</v>
      </c>
      <c r="I33" s="485">
        <f>SUMIF($F34:$F40,$F3,I34:I40)</f>
        <v>0</v>
      </c>
      <c r="J33" s="207" t="str">
        <f>FHD_NOTE_P_4</f>
        <v/>
      </c>
      <c r="K33" s="1495" t="str">
        <f t="shared" si="0"/>
        <v/>
      </c>
    </row>
    <row r="34" spans="1:31" s="1708" customFormat="1" ht="36.75" hidden="1" customHeight="1">
      <c r="A34" s="2329"/>
      <c r="B34" s="2330" t="str">
        <f>E33&amp;".0"</f>
        <v>.0</v>
      </c>
      <c r="C34" s="1041"/>
      <c r="D34" s="487"/>
      <c r="E34" s="488"/>
      <c r="F34" s="489"/>
      <c r="G34" s="490"/>
      <c r="H34" s="425"/>
      <c r="I34" s="425"/>
      <c r="J34" s="491"/>
      <c r="K34" s="1495" t="str">
        <f t="shared" si="0"/>
        <v/>
      </c>
      <c r="L34" s="1495"/>
      <c r="M34" s="1495"/>
      <c r="N34" s="1495"/>
      <c r="O34" s="1495"/>
      <c r="P34" s="1495"/>
      <c r="Q34" s="1495"/>
      <c r="R34" s="1495"/>
      <c r="S34" s="1495"/>
      <c r="T34" s="1495"/>
      <c r="U34" s="492"/>
      <c r="V34" s="1495"/>
      <c r="W34" s="1495"/>
      <c r="X34" s="1495"/>
      <c r="Y34" s="1495"/>
      <c r="Z34" s="1495"/>
      <c r="AA34" s="493"/>
      <c r="AB34" s="493"/>
      <c r="AC34" s="493"/>
      <c r="AD34" s="493"/>
      <c r="AE34" s="493"/>
    </row>
    <row r="35" spans="1:31" s="1708" customFormat="1" ht="36.75" hidden="1" customHeight="1">
      <c r="A35" s="2329"/>
      <c r="B35" s="2330"/>
      <c r="C35" s="1041"/>
      <c r="D35" s="487"/>
      <c r="E35" s="494"/>
      <c r="F35" s="495"/>
      <c r="G35" s="490"/>
      <c r="H35" s="496"/>
      <c r="I35" s="496"/>
      <c r="J35" s="491"/>
      <c r="K35" s="1495" t="str">
        <f t="shared" si="0"/>
        <v/>
      </c>
      <c r="L35" s="1495"/>
      <c r="M35" s="1495"/>
      <c r="N35" s="1495"/>
      <c r="O35" s="1495"/>
      <c r="P35" s="1495"/>
      <c r="Q35" s="1495"/>
      <c r="R35" s="1495"/>
      <c r="S35" s="1495"/>
      <c r="T35" s="1495"/>
      <c r="U35" s="492"/>
      <c r="V35" s="1495"/>
      <c r="W35" s="1495"/>
      <c r="X35" s="1495"/>
      <c r="Y35" s="1495"/>
      <c r="Z35" s="1495"/>
      <c r="AA35" s="493"/>
      <c r="AB35" s="493"/>
      <c r="AC35" s="493"/>
      <c r="AD35" s="493"/>
      <c r="AE35" s="493"/>
    </row>
    <row r="36" spans="1:31" s="1708" customFormat="1" ht="36.75" hidden="1" customHeight="1">
      <c r="A36" s="2329"/>
      <c r="B36" s="2330"/>
      <c r="C36" s="1041"/>
      <c r="D36" s="487"/>
      <c r="E36" s="494"/>
      <c r="F36" s="495"/>
      <c r="G36" s="490"/>
      <c r="H36" s="496"/>
      <c r="I36" s="496"/>
      <c r="J36" s="491"/>
      <c r="K36" s="1495" t="str">
        <f t="shared" si="0"/>
        <v/>
      </c>
      <c r="L36" s="1495"/>
      <c r="M36" s="1495"/>
      <c r="N36" s="1495"/>
      <c r="O36" s="1495"/>
      <c r="P36" s="1495"/>
      <c r="Q36" s="1495"/>
      <c r="R36" s="1495"/>
      <c r="S36" s="1495"/>
      <c r="T36" s="1495"/>
      <c r="U36" s="492"/>
      <c r="V36" s="1495"/>
      <c r="W36" s="1495"/>
      <c r="X36" s="1495"/>
      <c r="Y36" s="1495"/>
      <c r="Z36" s="1495"/>
      <c r="AA36" s="493"/>
      <c r="AB36" s="493"/>
      <c r="AC36" s="493"/>
      <c r="AD36" s="493"/>
      <c r="AE36" s="493"/>
    </row>
    <row r="37" spans="1:31" s="1708" customFormat="1" ht="36.75" hidden="1" customHeight="1">
      <c r="A37" s="2329"/>
      <c r="B37" s="2330"/>
      <c r="C37" s="1041"/>
      <c r="D37" s="487"/>
      <c r="E37" s="494"/>
      <c r="F37" s="495"/>
      <c r="G37" s="490"/>
      <c r="H37" s="496"/>
      <c r="I37" s="496"/>
      <c r="J37" s="491"/>
      <c r="K37" s="1495" t="str">
        <f t="shared" si="0"/>
        <v/>
      </c>
      <c r="L37" s="1495"/>
      <c r="M37" s="1495"/>
      <c r="N37" s="1495"/>
      <c r="O37" s="1495"/>
      <c r="P37" s="1495"/>
      <c r="Q37" s="1495"/>
      <c r="R37" s="1495"/>
      <c r="S37" s="1495"/>
      <c r="T37" s="1495"/>
      <c r="U37" s="492"/>
      <c r="V37" s="1495"/>
      <c r="W37" s="1495"/>
      <c r="X37" s="1495"/>
      <c r="Y37" s="1495"/>
      <c r="Z37" s="1495"/>
      <c r="AA37" s="493"/>
      <c r="AB37" s="493"/>
      <c r="AC37" s="493"/>
      <c r="AD37" s="493"/>
      <c r="AE37" s="493"/>
    </row>
    <row r="38" spans="1:31" s="1708" customFormat="1" ht="36.75" hidden="1" customHeight="1">
      <c r="A38" s="2329"/>
      <c r="B38" s="2330"/>
      <c r="C38" s="1041"/>
      <c r="D38" s="487"/>
      <c r="E38" s="494"/>
      <c r="F38" s="495"/>
      <c r="G38" s="490"/>
      <c r="H38" s="496"/>
      <c r="I38" s="496"/>
      <c r="J38" s="491"/>
      <c r="K38" s="1495" t="str">
        <f t="shared" si="0"/>
        <v/>
      </c>
      <c r="L38" s="1495"/>
      <c r="M38" s="1495"/>
      <c r="N38" s="1495"/>
      <c r="O38" s="1495"/>
      <c r="P38" s="1495"/>
      <c r="Q38" s="1495"/>
      <c r="R38" s="1495"/>
      <c r="S38" s="1495"/>
      <c r="T38" s="1495"/>
      <c r="U38" s="492"/>
      <c r="V38" s="1495"/>
      <c r="W38" s="1495"/>
      <c r="X38" s="1495"/>
      <c r="Y38" s="1495"/>
      <c r="Z38" s="1495"/>
      <c r="AA38" s="493"/>
      <c r="AB38" s="493"/>
      <c r="AC38" s="493"/>
      <c r="AD38" s="493"/>
      <c r="AE38" s="493"/>
    </row>
    <row r="39" spans="1:31" s="1708" customFormat="1" ht="36.75" hidden="1" customHeight="1">
      <c r="A39" s="2329"/>
      <c r="B39" s="2330"/>
      <c r="C39" s="1041"/>
      <c r="D39" s="487"/>
      <c r="E39" s="494"/>
      <c r="F39" s="495"/>
      <c r="G39" s="490"/>
      <c r="H39" s="425"/>
      <c r="I39" s="425"/>
      <c r="J39" s="491"/>
      <c r="K39" s="1495" t="str">
        <f t="shared" si="0"/>
        <v/>
      </c>
      <c r="L39" s="1495"/>
      <c r="M39" s="1495"/>
      <c r="N39" s="1495"/>
      <c r="O39" s="1495"/>
      <c r="P39" s="1495"/>
      <c r="Q39" s="1495"/>
      <c r="R39" s="1495"/>
      <c r="S39" s="1495"/>
      <c r="T39" s="1495"/>
      <c r="U39" s="492"/>
      <c r="V39" s="1495"/>
      <c r="W39" s="1495"/>
      <c r="X39" s="1495"/>
      <c r="Y39" s="1495"/>
      <c r="Z39" s="1495"/>
      <c r="AA39" s="493"/>
      <c r="AB39" s="493"/>
      <c r="AC39" s="493"/>
      <c r="AD39" s="493"/>
      <c r="AE39" s="493"/>
    </row>
    <row r="40" spans="1:31" s="1742" customFormat="1" ht="36.75" hidden="1" customHeight="1">
      <c r="A40" s="2329"/>
      <c r="C40" s="1495"/>
      <c r="D40" s="1492"/>
      <c r="E40" s="497"/>
      <c r="F40" s="498" t="s">
        <v>1732</v>
      </c>
      <c r="G40" s="499"/>
      <c r="H40" s="500"/>
      <c r="I40" s="500"/>
      <c r="J40" s="219"/>
      <c r="K40" s="1495" t="str">
        <f t="shared" si="0"/>
        <v/>
      </c>
      <c r="L40" s="1495"/>
      <c r="M40" s="1495"/>
      <c r="R40" s="1495"/>
      <c r="U40" s="471"/>
      <c r="AA40" s="1491"/>
      <c r="AB40" s="1491"/>
      <c r="AC40" s="1491"/>
      <c r="AD40" s="1491"/>
      <c r="AE40" s="1491"/>
    </row>
    <row r="41" spans="1:31" ht="36.75" customHeight="1">
      <c r="A41" s="2329" t="s">
        <v>1733</v>
      </c>
      <c r="D41" s="1497"/>
      <c r="E41" s="473" t="str">
        <f>FHD_NUM_P_5</f>
        <v>2.2</v>
      </c>
      <c r="F41" s="848" t="str">
        <f>FHD_P_5</f>
        <v>Расходы на тепловую энергию, производимую с применением собственных источников и используемую для горячего водоснабжения</v>
      </c>
      <c r="G41" s="1504" t="s">
        <v>1720</v>
      </c>
      <c r="H41" s="484"/>
      <c r="I41" s="484">
        <v>180.87664000000001</v>
      </c>
      <c r="J41" s="207" t="str">
        <f>FHD_NOTE_P_5</f>
        <v/>
      </c>
      <c r="K41" s="1495" t="str">
        <f t="shared" si="0"/>
        <v>p</v>
      </c>
    </row>
    <row r="42" spans="1:31" ht="36.75" customHeight="1">
      <c r="A42" s="2329"/>
      <c r="D42" s="1497"/>
      <c r="E42" s="473" t="str">
        <f>FHD_NUM_P_6</f>
        <v>2.3</v>
      </c>
      <c r="F42" s="848" t="str">
        <f>FHD_P_6</f>
        <v>Расходы на приобретаемую холодную воду, используемую для горячего водоснабжения</v>
      </c>
      <c r="G42" s="1504" t="s">
        <v>1720</v>
      </c>
      <c r="H42" s="484"/>
      <c r="I42" s="484">
        <v>50.620469999999997</v>
      </c>
      <c r="J42" s="207" t="str">
        <f>FHD_NOTE_P_6</f>
        <v/>
      </c>
      <c r="K42" s="1495" t="str">
        <f t="shared" si="0"/>
        <v>p</v>
      </c>
    </row>
    <row r="43" spans="1:31" ht="36.75" customHeight="1">
      <c r="A43" s="2329"/>
      <c r="D43" s="1497"/>
      <c r="E43" s="473" t="str">
        <f>FHD_NUM_P_7</f>
        <v>2.4</v>
      </c>
      <c r="F43" s="848" t="str">
        <f>FHD_P_7</f>
        <v>Расходы на холодную воду, получаемую с применением собственных источников водозабора (скважин) и используемую для горячего водоснабжения</v>
      </c>
      <c r="G43" s="1504" t="s">
        <v>1720</v>
      </c>
      <c r="H43" s="484"/>
      <c r="I43" s="484">
        <v>0</v>
      </c>
      <c r="J43" s="207" t="str">
        <f>FHD_NOTE_P_7</f>
        <v/>
      </c>
      <c r="K43" s="1495" t="str">
        <f t="shared" si="0"/>
        <v>p</v>
      </c>
    </row>
    <row r="44" spans="1:31" ht="36.75" customHeight="1">
      <c r="D44" s="1497"/>
      <c r="E44" s="473" t="str">
        <f>FHD_NUM_P_8</f>
        <v>2.5</v>
      </c>
      <c r="F44" s="848" t="str">
        <f>FHD_P_8</f>
        <v>Расходы на приобретаемую электрическую энергию (мощность), используемую в технологическом процессе</v>
      </c>
      <c r="G44" s="1504" t="s">
        <v>1720</v>
      </c>
      <c r="H44" s="484"/>
      <c r="I44" s="484">
        <v>0.53300000000000003</v>
      </c>
      <c r="J44" s="207" t="str">
        <f>FHD_NOTE_P_8</f>
        <v/>
      </c>
      <c r="K44" s="1495" t="str">
        <f t="shared" si="0"/>
        <v>p</v>
      </c>
    </row>
    <row r="45" spans="1:31" ht="36.75" customHeight="1">
      <c r="D45" s="1497"/>
      <c r="E45" s="473" t="str">
        <f>FHD_NUM_P_9</f>
        <v>2.5.1</v>
      </c>
      <c r="F45" s="1508" t="str">
        <f>FHD_P_9</f>
        <v>Средневзвешенная стоимость 1 кВт.ч (с учетом мощности)</v>
      </c>
      <c r="G45" s="1504" t="s">
        <v>1618</v>
      </c>
      <c r="H45" s="484"/>
      <c r="I45" s="484">
        <v>7.3208815999999999</v>
      </c>
      <c r="J45" s="207" t="str">
        <f>FHD_NOTE_P_9</f>
        <v/>
      </c>
      <c r="K45" s="1495" t="str">
        <f t="shared" si="0"/>
        <v/>
      </c>
    </row>
    <row r="46" spans="1:31" s="1742" customFormat="1" ht="36.75" customHeight="1">
      <c r="A46" s="880"/>
      <c r="C46" s="1495"/>
      <c r="D46" s="501"/>
      <c r="E46" s="473" t="str">
        <f>FHD_NUM_P_10</f>
        <v>2.5.2</v>
      </c>
      <c r="F46" s="1508" t="str">
        <f>FHD_P_10</f>
        <v>Объём приобретения электрической энергии</v>
      </c>
      <c r="G46" s="1504" t="s">
        <v>1734</v>
      </c>
      <c r="H46" s="484"/>
      <c r="I46" s="484">
        <v>7.2805900000000007E-2</v>
      </c>
      <c r="J46" s="207" t="str">
        <f>FHD_NOTE_P_10</f>
        <v/>
      </c>
      <c r="K46" s="1495" t="str">
        <f t="shared" si="0"/>
        <v/>
      </c>
      <c r="L46" s="1495"/>
      <c r="M46" s="1495"/>
      <c r="R46" s="1495"/>
      <c r="U46" s="471"/>
      <c r="AA46" s="1491"/>
      <c r="AB46" s="1491"/>
      <c r="AC46" s="1491"/>
      <c r="AD46" s="1491"/>
      <c r="AE46" s="1491"/>
    </row>
    <row r="47" spans="1:31" s="1742" customFormat="1" ht="36.75" hidden="1" customHeight="1">
      <c r="A47" s="882" t="s">
        <v>1735</v>
      </c>
      <c r="C47" s="1495"/>
      <c r="D47" s="502"/>
      <c r="E47" s="473" t="str">
        <f>FHD_NUM_P_11</f>
        <v/>
      </c>
      <c r="F47" s="848" t="str">
        <f>FHD_P_11</f>
        <v/>
      </c>
      <c r="G47" s="1504" t="s">
        <v>1720</v>
      </c>
      <c r="H47" s="484"/>
      <c r="I47" s="484"/>
      <c r="J47" s="207" t="str">
        <f>FHD_NOTE_P_11</f>
        <v/>
      </c>
      <c r="K47" s="1495" t="str">
        <f t="shared" si="0"/>
        <v/>
      </c>
      <c r="L47" s="1495"/>
      <c r="M47" s="1495"/>
      <c r="R47" s="1495"/>
      <c r="U47" s="471"/>
      <c r="AA47" s="1491"/>
      <c r="AB47" s="1491"/>
      <c r="AC47" s="1491"/>
      <c r="AD47" s="1491"/>
      <c r="AE47" s="1491"/>
    </row>
    <row r="48" spans="1:31" s="1742" customFormat="1" ht="36.75" hidden="1" customHeight="1">
      <c r="A48" s="882" t="s">
        <v>1736</v>
      </c>
      <c r="C48" s="1495"/>
      <c r="D48" s="1497"/>
      <c r="E48" s="473" t="str">
        <f>FHD_NUM_P_12</f>
        <v/>
      </c>
      <c r="F48" s="848" t="str">
        <f>FHD_P_12</f>
        <v/>
      </c>
      <c r="G48" s="1504" t="s">
        <v>1720</v>
      </c>
      <c r="H48" s="504"/>
      <c r="I48" s="504"/>
      <c r="J48" s="207" t="str">
        <f>FHD_NOTE_P_12</f>
        <v/>
      </c>
      <c r="K48" s="1495" t="str">
        <f t="shared" si="0"/>
        <v/>
      </c>
      <c r="L48" s="1495"/>
      <c r="M48" s="1495"/>
      <c r="R48" s="1495"/>
      <c r="U48" s="471"/>
      <c r="AA48" s="1491"/>
      <c r="AB48" s="1491"/>
      <c r="AC48" s="1491"/>
      <c r="AD48" s="1491"/>
      <c r="AE48" s="1491"/>
    </row>
    <row r="49" spans="1:31" s="1671" customFormat="1" ht="36.75" customHeight="1">
      <c r="A49" s="881"/>
      <c r="C49" s="644"/>
      <c r="D49" s="588"/>
      <c r="E49" s="473" t="str">
        <f>FHD_NUM_P_13</f>
        <v>2.6</v>
      </c>
      <c r="F49" s="848" t="str">
        <f>FHD_P_13</f>
        <v>Расходы на оплату труда и страховые взносы на обязательное социальное страхование, выплачиваемые из фонда оплаты труда основного производственного персонала, в том числе:</v>
      </c>
      <c r="G49" s="1504" t="s">
        <v>1720</v>
      </c>
      <c r="H49" s="484"/>
      <c r="I49" s="484">
        <f>I50+I51</f>
        <v>31.569408109000001</v>
      </c>
      <c r="J49" s="207" t="str">
        <f>FHD_NOTE_P_13</f>
        <v>Указывается общая сумма расходов на оплату труда и отчислений на социальные нужды основного производственного персонала.</v>
      </c>
      <c r="K49" s="1495" t="str">
        <f t="shared" si="0"/>
        <v>p</v>
      </c>
      <c r="L49" s="644"/>
      <c r="M49" s="644"/>
      <c r="R49" s="644"/>
      <c r="U49" s="645"/>
      <c r="AA49" s="646"/>
      <c r="AB49" s="646"/>
      <c r="AC49" s="646"/>
      <c r="AD49" s="646"/>
      <c r="AE49" s="646"/>
    </row>
    <row r="50" spans="1:31" s="1671" customFormat="1" ht="36.75" customHeight="1">
      <c r="A50" s="881"/>
      <c r="C50" s="644"/>
      <c r="D50" s="588"/>
      <c r="E50" s="473" t="str">
        <f>FHD_NUM_P_14</f>
        <v>2.6.1</v>
      </c>
      <c r="F50" s="1508" t="str">
        <f>FHD_P_14</f>
        <v>Расходы на оплату труда основного производственного персонала</v>
      </c>
      <c r="G50" s="1504" t="s">
        <v>1720</v>
      </c>
      <c r="H50" s="484"/>
      <c r="I50" s="484">
        <v>24.3732051</v>
      </c>
      <c r="J50" s="207" t="str">
        <f>FHD_NOTE_P_14</f>
        <v/>
      </c>
      <c r="K50" s="1495" t="str">
        <f t="shared" si="0"/>
        <v/>
      </c>
      <c r="L50" s="644"/>
      <c r="M50" s="644"/>
      <c r="R50" s="644"/>
      <c r="U50" s="645"/>
      <c r="AA50" s="646"/>
      <c r="AB50" s="646"/>
      <c r="AC50" s="646"/>
      <c r="AD50" s="646"/>
      <c r="AE50" s="646"/>
    </row>
    <row r="51" spans="1:31" s="1671" customFormat="1" ht="36.75" customHeight="1">
      <c r="A51" s="881"/>
      <c r="C51" s="644"/>
      <c r="D51" s="588"/>
      <c r="E51" s="473" t="str">
        <f>FHD_NUM_P_15</f>
        <v>2.6.2</v>
      </c>
      <c r="F51" s="1508" t="str">
        <f>FHD_P_15</f>
        <v>Страховые взносы на обязательное социальное страхование, выплачиваемые из фонда оплаты труда основного производственного персонала</v>
      </c>
      <c r="G51" s="1504" t="s">
        <v>1720</v>
      </c>
      <c r="H51" s="484"/>
      <c r="I51" s="484">
        <v>7.1962030090000004</v>
      </c>
      <c r="J51" s="207" t="str">
        <f>FHD_NOTE_P_15</f>
        <v/>
      </c>
      <c r="K51" s="1495" t="str">
        <f t="shared" si="0"/>
        <v/>
      </c>
      <c r="L51" s="644"/>
      <c r="M51" s="644"/>
      <c r="R51" s="644"/>
      <c r="U51" s="645"/>
      <c r="AA51" s="646"/>
      <c r="AB51" s="646"/>
      <c r="AC51" s="646"/>
      <c r="AD51" s="646"/>
      <c r="AE51" s="646"/>
    </row>
    <row r="52" spans="1:31" s="1742" customFormat="1" ht="36.75" customHeight="1">
      <c r="A52" s="880"/>
      <c r="C52" s="1495"/>
      <c r="D52" s="1497"/>
      <c r="E52" s="473" t="str">
        <f>FHD_NUM_P_16</f>
        <v>2.7</v>
      </c>
      <c r="F52" s="848" t="str">
        <f>FHD_P_16</f>
        <v>Расходы на оплату труда и страховые взносы на обязательное социальное страхование, выплачиваемые из фонда оплаты труда административно-управленческого персонала, в том числе:</v>
      </c>
      <c r="G52" s="1504" t="s">
        <v>1720</v>
      </c>
      <c r="H52" s="484"/>
      <c r="I52" s="484">
        <f>I53+I54</f>
        <v>38.992501890999996</v>
      </c>
      <c r="J52" s="207" t="str">
        <f>FHD_NOTE_P_16</f>
        <v>Указывается общая сумма расходов на оплату труда и отчислений на социальные нужды административно-управленческого персонала.</v>
      </c>
      <c r="K52" s="1495" t="str">
        <f t="shared" si="0"/>
        <v>p</v>
      </c>
      <c r="L52" s="1495"/>
      <c r="M52" s="1500"/>
      <c r="N52" s="464"/>
      <c r="O52" s="464"/>
      <c r="R52" s="1495"/>
      <c r="U52" s="471"/>
      <c r="AA52" s="1491"/>
      <c r="AB52" s="1491"/>
      <c r="AC52" s="1491"/>
      <c r="AD52" s="1491"/>
      <c r="AE52" s="1491"/>
    </row>
    <row r="53" spans="1:31" s="1742" customFormat="1" ht="36.75" customHeight="1">
      <c r="A53" s="880"/>
      <c r="C53" s="1495"/>
      <c r="D53" s="1497"/>
      <c r="E53" s="473" t="str">
        <f>FHD_NUM_P_17</f>
        <v>2.7.1</v>
      </c>
      <c r="F53" s="1508" t="str">
        <f>FHD_P_17</f>
        <v>Расходы на оплату труда административно-управленческого персонала</v>
      </c>
      <c r="G53" s="1504" t="s">
        <v>1720</v>
      </c>
      <c r="H53" s="484"/>
      <c r="I53" s="484">
        <v>30.104214899999999</v>
      </c>
      <c r="J53" s="207" t="str">
        <f>FHD_NOTE_P_17</f>
        <v/>
      </c>
      <c r="K53" s="1495" t="str">
        <f t="shared" si="0"/>
        <v/>
      </c>
      <c r="L53" s="1495"/>
      <c r="M53" s="1500"/>
      <c r="N53" s="464"/>
      <c r="O53" s="464"/>
      <c r="R53" s="1495"/>
      <c r="U53" s="471"/>
      <c r="AA53" s="1491"/>
      <c r="AB53" s="1491"/>
      <c r="AC53" s="1491"/>
      <c r="AD53" s="1491"/>
      <c r="AE53" s="1491"/>
    </row>
    <row r="54" spans="1:31" s="1742" customFormat="1" ht="36.75" customHeight="1">
      <c r="A54" s="880"/>
      <c r="C54" s="1495"/>
      <c r="D54" s="1497"/>
      <c r="E54" s="473" t="str">
        <f>FHD_NUM_P_18</f>
        <v>2.7.2</v>
      </c>
      <c r="F54" s="1508" t="str">
        <f>FHD_P_18</f>
        <v>Страховые взносы на обязательное социальное страхование, выплачиваемые из фонда оплаты труда административно-управленческого персонала</v>
      </c>
      <c r="G54" s="1504" t="s">
        <v>1720</v>
      </c>
      <c r="H54" s="484"/>
      <c r="I54" s="484">
        <v>8.8882869909999993</v>
      </c>
      <c r="J54" s="207" t="str">
        <f>FHD_NOTE_P_18</f>
        <v/>
      </c>
      <c r="K54" s="1495" t="str">
        <f t="shared" si="0"/>
        <v/>
      </c>
      <c r="L54" s="1495"/>
      <c r="M54" s="1500"/>
      <c r="N54" s="464"/>
      <c r="O54" s="464"/>
      <c r="R54" s="1495"/>
      <c r="U54" s="471"/>
      <c r="AA54" s="1491"/>
      <c r="AB54" s="1491"/>
      <c r="AC54" s="1491"/>
      <c r="AD54" s="1491"/>
      <c r="AE54" s="1491"/>
    </row>
    <row r="55" spans="1:31" s="1742" customFormat="1" ht="36.75" customHeight="1">
      <c r="A55" s="880"/>
      <c r="C55" s="1495"/>
      <c r="D55" s="502"/>
      <c r="E55" s="473" t="str">
        <f>FHD_NUM_P_19</f>
        <v>2.8</v>
      </c>
      <c r="F55" s="848" t="str">
        <f>FHD_P_19</f>
        <v>Расходы на амортизацию основных средств и нематериальных активов</v>
      </c>
      <c r="G55" s="1504" t="s">
        <v>1720</v>
      </c>
      <c r="H55" s="484"/>
      <c r="I55" s="484">
        <f>I56+I57</f>
        <v>9.3840000000000007E-2</v>
      </c>
      <c r="J55" s="207" t="str">
        <f>FHD_NOTE_P_19</f>
        <v/>
      </c>
      <c r="K55" s="1495" t="str">
        <f t="shared" si="0"/>
        <v>p</v>
      </c>
      <c r="L55" s="1495"/>
      <c r="M55" s="1495"/>
      <c r="R55" s="1495"/>
      <c r="U55" s="471"/>
      <c r="AA55" s="1491"/>
      <c r="AB55" s="1491"/>
      <c r="AC55" s="1491"/>
      <c r="AD55" s="1491"/>
      <c r="AE55" s="1491"/>
    </row>
    <row r="56" spans="1:31" s="1742" customFormat="1" ht="36.75" customHeight="1">
      <c r="A56" s="880"/>
      <c r="C56" s="1495"/>
      <c r="D56" s="502"/>
      <c r="E56" s="473" t="str">
        <f>FHD_NUM_P_20</f>
        <v>2.8.1</v>
      </c>
      <c r="F56" s="1508" t="str">
        <f>FHD_P_20</f>
        <v>Расходы на амортизацию основных средств</v>
      </c>
      <c r="G56" s="1504" t="s">
        <v>1720</v>
      </c>
      <c r="H56" s="484"/>
      <c r="I56" s="484">
        <v>9.3840000000000007E-2</v>
      </c>
      <c r="J56" s="207" t="str">
        <f>FHD_NOTE_P_20</f>
        <v/>
      </c>
      <c r="K56" s="1495" t="str">
        <f t="shared" si="0"/>
        <v/>
      </c>
      <c r="L56" s="1495"/>
      <c r="M56" s="1495"/>
      <c r="R56" s="1495"/>
      <c r="U56" s="471"/>
      <c r="AA56" s="1491"/>
      <c r="AB56" s="1491"/>
      <c r="AC56" s="1491"/>
      <c r="AD56" s="1491"/>
      <c r="AE56" s="1491"/>
    </row>
    <row r="57" spans="1:31" s="1742" customFormat="1" ht="36.75" customHeight="1">
      <c r="A57" s="880"/>
      <c r="C57" s="1495"/>
      <c r="D57" s="502"/>
      <c r="E57" s="473" t="str">
        <f>FHD_NUM_P_21</f>
        <v>2.8.2</v>
      </c>
      <c r="F57" s="1508" t="str">
        <f>FHD_P_21</f>
        <v>Расходы на амортизацию нематериальных активов</v>
      </c>
      <c r="G57" s="1504" t="s">
        <v>1720</v>
      </c>
      <c r="H57" s="484"/>
      <c r="I57" s="484">
        <v>0</v>
      </c>
      <c r="J57" s="207" t="str">
        <f>FHD_NOTE_P_21</f>
        <v/>
      </c>
      <c r="K57" s="1495" t="str">
        <f t="shared" si="0"/>
        <v/>
      </c>
      <c r="L57" s="1495"/>
      <c r="M57" s="1495"/>
      <c r="R57" s="1495"/>
      <c r="U57" s="471"/>
      <c r="AA57" s="1491"/>
      <c r="AB57" s="1491"/>
      <c r="AC57" s="1491"/>
      <c r="AD57" s="1491"/>
      <c r="AE57" s="1491"/>
    </row>
    <row r="58" spans="1:31" s="1742" customFormat="1" ht="36.75" customHeight="1">
      <c r="A58" s="880"/>
      <c r="C58" s="1495"/>
      <c r="D58" s="1497"/>
      <c r="E58" s="473" t="str">
        <f>FHD_NUM_P_22</f>
        <v>2.9</v>
      </c>
      <c r="F58" s="848" t="str">
        <f>FHD_P_22</f>
        <v>Расходы на аренду имущества, используемого для осуществления регулируемых видов деятельности в сфере горячего водоснабжения</v>
      </c>
      <c r="G58" s="1504" t="s">
        <v>1720</v>
      </c>
      <c r="H58" s="484"/>
      <c r="I58" s="484">
        <v>0</v>
      </c>
      <c r="J58" s="207" t="str">
        <f>FHD_NOTE_P_22</f>
        <v/>
      </c>
      <c r="K58" s="1495" t="str">
        <f t="shared" si="0"/>
        <v>p</v>
      </c>
      <c r="L58" s="1495"/>
      <c r="M58" s="1495"/>
      <c r="R58" s="1495"/>
      <c r="U58" s="471"/>
      <c r="AA58" s="1491"/>
      <c r="AB58" s="1491"/>
      <c r="AC58" s="1491"/>
      <c r="AD58" s="1491"/>
      <c r="AE58" s="1491"/>
    </row>
    <row r="59" spans="1:31" s="1742" customFormat="1" ht="36.75" customHeight="1">
      <c r="A59" s="880"/>
      <c r="C59" s="1495"/>
      <c r="D59" s="502"/>
      <c r="E59" s="473" t="str">
        <f>FHD_NUM_P_23</f>
        <v>2.10</v>
      </c>
      <c r="F59" s="848" t="str">
        <f>FHD_P_23</f>
        <v>Общепроизводственные расходы, в том числе:</v>
      </c>
      <c r="G59" s="1504" t="s">
        <v>1720</v>
      </c>
      <c r="H59" s="484"/>
      <c r="I59" s="484">
        <v>9.8127700000000004</v>
      </c>
      <c r="J59" s="207" t="str">
        <f>FHD_NOTE_P_23</f>
        <v>Указывается общая сумма общепроизводственных расходов.</v>
      </c>
      <c r="K59" s="1495" t="str">
        <f t="shared" si="0"/>
        <v>p</v>
      </c>
      <c r="L59" s="1495"/>
      <c r="M59" s="1495"/>
      <c r="R59" s="1495"/>
      <c r="U59" s="471"/>
      <c r="AA59" s="1491"/>
      <c r="AB59" s="1491"/>
      <c r="AC59" s="1491"/>
      <c r="AD59" s="1491"/>
      <c r="AE59" s="1491"/>
    </row>
    <row r="60" spans="1:31" s="1742" customFormat="1" ht="36.75" customHeight="1">
      <c r="A60" s="880"/>
      <c r="C60" s="1495"/>
      <c r="D60" s="502"/>
      <c r="E60" s="473" t="str">
        <f>FHD_NUM_P_24</f>
        <v>2.10.1</v>
      </c>
      <c r="F60" s="1508" t="str">
        <f>FHD_P_24</f>
        <v>Расходы на текущий ремонт</v>
      </c>
      <c r="G60" s="1504" t="s">
        <v>1720</v>
      </c>
      <c r="H60" s="484"/>
      <c r="I60" s="484">
        <v>9.8127700000000004</v>
      </c>
      <c r="J60" s="207" t="str">
        <f>FHD_NOTE_P_24</f>
        <v>Указываются расходы на текущий ремонт, отнесенные к общепроизводственным расходам.</v>
      </c>
      <c r="K60" s="1495" t="str">
        <f t="shared" si="0"/>
        <v/>
      </c>
      <c r="L60" s="1495"/>
      <c r="M60" s="1495"/>
      <c r="R60" s="1495"/>
      <c r="U60" s="471"/>
      <c r="AA60" s="1491"/>
      <c r="AB60" s="1491"/>
      <c r="AC60" s="1491"/>
      <c r="AD60" s="1491"/>
      <c r="AE60" s="1491"/>
    </row>
    <row r="61" spans="1:31" s="1742" customFormat="1" ht="36.75" customHeight="1">
      <c r="A61" s="880"/>
      <c r="C61" s="1495"/>
      <c r="D61" s="502"/>
      <c r="E61" s="473" t="str">
        <f>FHD_NUM_P_25</f>
        <v>2.10.2</v>
      </c>
      <c r="F61" s="1508" t="str">
        <f>FHD_P_25</f>
        <v>Расходы на капитальный ремонт</v>
      </c>
      <c r="G61" s="1504" t="s">
        <v>1720</v>
      </c>
      <c r="H61" s="484"/>
      <c r="I61" s="484">
        <v>0</v>
      </c>
      <c r="J61" s="207" t="str">
        <f>FHD_NOTE_P_25</f>
        <v>Указываются расходы на капитальный ремонт, отнесенные к общепроизводственным расходам.</v>
      </c>
      <c r="K61" s="1495" t="str">
        <f t="shared" si="0"/>
        <v/>
      </c>
      <c r="L61" s="1495"/>
      <c r="M61" s="1495"/>
      <c r="R61" s="1495"/>
      <c r="U61" s="471"/>
      <c r="AA61" s="1491"/>
      <c r="AB61" s="1491"/>
      <c r="AC61" s="1491"/>
      <c r="AD61" s="1491"/>
      <c r="AE61" s="1491"/>
    </row>
    <row r="62" spans="1:31" s="1742" customFormat="1" ht="36.75" customHeight="1">
      <c r="A62" s="880"/>
      <c r="C62" s="1495"/>
      <c r="D62" s="1497"/>
      <c r="E62" s="473" t="str">
        <f>FHD_NUM_P_26</f>
        <v>2.11</v>
      </c>
      <c r="F62" s="848" t="str">
        <f>FHD_P_26</f>
        <v>Общехозяйственные расходы, в том числе:</v>
      </c>
      <c r="G62" s="1504" t="s">
        <v>1720</v>
      </c>
      <c r="H62" s="484"/>
      <c r="I62" s="484">
        <v>0</v>
      </c>
      <c r="J62" s="207" t="str">
        <f>FHD_NOTE_P_26</f>
        <v>Указывается общая сумма общехозяйственных расходов.</v>
      </c>
      <c r="K62" s="1495" t="str">
        <f t="shared" si="0"/>
        <v>p</v>
      </c>
      <c r="L62" s="1495"/>
      <c r="M62" s="1495"/>
      <c r="R62" s="1495"/>
      <c r="U62" s="471"/>
      <c r="AA62" s="1491"/>
      <c r="AB62" s="1491"/>
      <c r="AC62" s="1491"/>
      <c r="AD62" s="1491"/>
      <c r="AE62" s="1491"/>
    </row>
    <row r="63" spans="1:31" s="1742" customFormat="1" ht="36.75" customHeight="1">
      <c r="A63" s="880"/>
      <c r="C63" s="1495"/>
      <c r="D63" s="1497"/>
      <c r="E63" s="473" t="str">
        <f>FHD_NUM_P_27</f>
        <v>2.11.1</v>
      </c>
      <c r="F63" s="1508" t="str">
        <f>FHD_P_27</f>
        <v>Расходы на текущий ремонт</v>
      </c>
      <c r="G63" s="1504" t="s">
        <v>1720</v>
      </c>
      <c r="H63" s="484"/>
      <c r="I63" s="484">
        <v>0</v>
      </c>
      <c r="J63" s="207" t="str">
        <f>FHD_NOTE_P_27</f>
        <v>Указываются расходы на текущий ремонт, отнесенные к общехозяйственным расходам.</v>
      </c>
      <c r="K63" s="1495" t="str">
        <f t="shared" si="0"/>
        <v/>
      </c>
      <c r="L63" s="1495"/>
      <c r="M63" s="1495"/>
      <c r="R63" s="1495"/>
      <c r="U63" s="471"/>
      <c r="AA63" s="1491"/>
      <c r="AB63" s="1491"/>
      <c r="AC63" s="1491"/>
      <c r="AD63" s="1491"/>
      <c r="AE63" s="1491"/>
    </row>
    <row r="64" spans="1:31" s="1742" customFormat="1" ht="36.75" customHeight="1">
      <c r="A64" s="880"/>
      <c r="C64" s="1495"/>
      <c r="D64" s="1497"/>
      <c r="E64" s="473" t="str">
        <f>FHD_NUM_P_28</f>
        <v>2.11.2</v>
      </c>
      <c r="F64" s="1508" t="str">
        <f>FHD_P_28</f>
        <v>Расходы на капитальный ремонт</v>
      </c>
      <c r="G64" s="1504" t="s">
        <v>1720</v>
      </c>
      <c r="H64" s="484"/>
      <c r="I64" s="484">
        <v>0</v>
      </c>
      <c r="J64" s="207" t="str">
        <f>FHD_NOTE_P_28</f>
        <v>Указываются расходы на капитальный ремонт, отнесенные к общехозяйственным расходам.</v>
      </c>
      <c r="K64" s="1495" t="str">
        <f t="shared" si="0"/>
        <v/>
      </c>
      <c r="L64" s="1495"/>
      <c r="M64" s="1495"/>
      <c r="R64" s="1495"/>
      <c r="U64" s="471"/>
      <c r="AA64" s="1491"/>
      <c r="AB64" s="1491"/>
      <c r="AC64" s="1491"/>
      <c r="AD64" s="1491"/>
      <c r="AE64" s="1491"/>
    </row>
    <row r="65" spans="1:31" s="1742" customFormat="1" ht="36.75" customHeight="1">
      <c r="A65" s="880"/>
      <c r="C65" s="1495"/>
      <c r="D65" s="1497"/>
      <c r="E65" s="473" t="str">
        <f>FHD_NUM_P_29</f>
        <v>2.12</v>
      </c>
      <c r="F65" s="848" t="str">
        <f>FHD_P_29</f>
        <v>Расходы на капитальный и текущий ремонт основных средств</v>
      </c>
      <c r="G65" s="1504" t="s">
        <v>1720</v>
      </c>
      <c r="H65" s="484"/>
      <c r="I65" s="484">
        <v>0</v>
      </c>
      <c r="J65" s="207" t="str">
        <f>FHD_NOTE_P_29</f>
        <v>В том числе информацию об объемах товаров и услуг, их стоимости и о способах приобретения у тех организаций, сумма оплаты услуг которых превышает 20 процентов суммы расходов по указанной статье расходов</v>
      </c>
      <c r="K65" s="1495" t="str">
        <f t="shared" si="0"/>
        <v>p</v>
      </c>
      <c r="L65" s="1495"/>
      <c r="M65" s="1495"/>
      <c r="R65" s="1495"/>
      <c r="U65" s="471"/>
      <c r="AA65" s="1491"/>
      <c r="AB65" s="1491"/>
      <c r="AC65" s="1491"/>
      <c r="AD65" s="1491"/>
      <c r="AE65" s="1491"/>
    </row>
    <row r="66" spans="1:31" s="1742" customFormat="1" ht="36.75" customHeight="1">
      <c r="A66" s="880"/>
      <c r="C66" s="1495"/>
      <c r="D66" s="1497"/>
      <c r="E66" s="473" t="str">
        <f>FHD_NUM_P_30</f>
        <v>2.12.1</v>
      </c>
      <c r="F66" s="1508" t="str">
        <f>FHD_P_30</f>
        <v>Информация об объемах товаров и услуг, их стоимости и способах приобретения у тех организаций, сумма оплаты услуг которых превышает 20 процентов суммы расходов по указанной статье расходов</v>
      </c>
      <c r="G66" s="1504" t="s">
        <v>298</v>
      </c>
      <c r="H66" s="1507" t="s">
        <v>1427</v>
      </c>
      <c r="I66" s="1507" t="s">
        <v>1427</v>
      </c>
      <c r="J66" s="207" t="str">
        <f>FHD_NOTE_P_30</f>
        <v/>
      </c>
      <c r="K66" s="1495" t="str">
        <f t="shared" si="0"/>
        <v/>
      </c>
      <c r="L66" s="1495">
        <f>IFERROR(MATCH("есть",B_FHD_FLAG_INDEX_1,0),0)</f>
        <v>0</v>
      </c>
      <c r="M66" s="1495"/>
      <c r="R66" s="1495"/>
      <c r="U66" s="471"/>
      <c r="AA66" s="1491"/>
      <c r="AB66" s="1491"/>
      <c r="AC66" s="1491"/>
      <c r="AD66" s="1491"/>
      <c r="AE66" s="1491"/>
    </row>
    <row r="67" spans="1:31" s="1742" customFormat="1" ht="36.75" customHeight="1">
      <c r="A67" s="2329" t="s">
        <v>1737</v>
      </c>
      <c r="C67" s="1495"/>
      <c r="D67" s="1497"/>
      <c r="E67" s="473" t="str">
        <f>FHD_NUM_P_31</f>
        <v>2.13</v>
      </c>
      <c r="F67" s="848" t="str">
        <f>FHD_P_31</f>
        <v>Расходы на услуги производственного характера, оказываемые по договорам с организациями на проведение регламентных работ в рамках технологического процесса</v>
      </c>
      <c r="G67" s="1504" t="s">
        <v>1720</v>
      </c>
      <c r="H67" s="484"/>
      <c r="I67" s="484">
        <v>0</v>
      </c>
      <c r="J67" s="207" t="str">
        <f>FHD_NOTE_P_31</f>
        <v>В том числе информацию об объемах товаров и услуг, их стоимости и о способах приобретения у тех организаций, сумма оплаты услуг которых превышает 20 процентов суммы расходов по указанной статье расходов</v>
      </c>
      <c r="K67" s="1495" t="str">
        <f t="shared" si="0"/>
        <v>p</v>
      </c>
      <c r="L67" s="1495"/>
      <c r="M67" s="1495"/>
      <c r="R67" s="1495"/>
      <c r="U67" s="471"/>
      <c r="AA67" s="1491"/>
      <c r="AB67" s="1491"/>
      <c r="AC67" s="1491"/>
      <c r="AD67" s="1491"/>
      <c r="AE67" s="1491"/>
    </row>
    <row r="68" spans="1:31" s="1742" customFormat="1" ht="36.75" customHeight="1">
      <c r="A68" s="2329"/>
      <c r="C68" s="1495"/>
      <c r="D68" s="1497"/>
      <c r="E68" s="473" t="str">
        <f>FHD_NUM_P_32</f>
        <v>2.13.1</v>
      </c>
      <c r="F68" s="1508" t="str">
        <f>FHD_P_32</f>
        <v>Информация об объемах товаров и услуг, их стоимости и способах приобретения у тех организаций, сумма оплаты услуг которых превышает 20 процентов суммы расходов по указанной статье расходов</v>
      </c>
      <c r="G68" s="1504" t="s">
        <v>298</v>
      </c>
      <c r="H68" s="1507" t="s">
        <v>1427</v>
      </c>
      <c r="I68" s="1507" t="s">
        <v>1427</v>
      </c>
      <c r="J68" s="207" t="str">
        <f>FHD_NOTE_P_32</f>
        <v/>
      </c>
      <c r="K68" s="1495" t="str">
        <f t="shared" si="0"/>
        <v/>
      </c>
      <c r="L68" s="1495">
        <f>IFERROR(MATCH("есть",B_FHD_FLAG_INDEX_2,0),0)</f>
        <v>0</v>
      </c>
      <c r="M68" s="1495"/>
      <c r="R68" s="1495"/>
      <c r="U68" s="471"/>
      <c r="AA68" s="1491"/>
      <c r="AB68" s="1491"/>
      <c r="AC68" s="1491"/>
      <c r="AD68" s="1491"/>
      <c r="AE68" s="1491"/>
    </row>
    <row r="69" spans="1:31" s="1742" customFormat="1" ht="51.75" customHeight="1">
      <c r="A69" s="880"/>
      <c r="C69" s="1495"/>
      <c r="D69" s="1497"/>
      <c r="E69" s="473" t="str">
        <f>FHD_NUM_P_33</f>
        <v>2.14</v>
      </c>
      <c r="F69" s="848" t="str">
        <f>FHD_P_33</f>
        <v>Прочие расходы, которые отнесены на регулируемые виды деятельности в сфере горячего водоснабжения, в соответствии с Основами ценообразования в сфере водоснабжения и водоотведения</v>
      </c>
      <c r="G69" s="1502" t="s">
        <v>1720</v>
      </c>
      <c r="H69" s="506">
        <f>SUM(H70:H72)</f>
        <v>0</v>
      </c>
      <c r="I69" s="506">
        <f>SUM(I70:I72)</f>
        <v>17.170909999999999</v>
      </c>
      <c r="J69" s="207" t="str">
        <f>FHD_NOTE_P_33</f>
        <v>Указывается общая сумма прочих расходов, которые подлежат отнесению на регулируемые виды деятельности в соответствии с основами ценообразования в сфере водоснабжения и водоотведения.</v>
      </c>
      <c r="K69" s="1495" t="str">
        <f t="shared" si="0"/>
        <v>p</v>
      </c>
      <c r="L69" s="1495"/>
      <c r="M69" s="1495"/>
      <c r="R69" s="1495"/>
      <c r="U69" s="471"/>
      <c r="AA69" s="1491"/>
      <c r="AB69" s="1491"/>
      <c r="AC69" s="1491"/>
      <c r="AD69" s="1491"/>
      <c r="AE69" s="1491"/>
    </row>
    <row r="70" spans="1:31" s="1755" customFormat="1" ht="36.75" customHeight="1">
      <c r="A70" s="1041"/>
      <c r="D70" s="475"/>
      <c r="E70" s="708" t="str">
        <f>E69&amp;".0"</f>
        <v>2.14.0</v>
      </c>
      <c r="F70" s="884"/>
      <c r="G70" s="478"/>
      <c r="H70" s="885"/>
      <c r="I70" s="885"/>
      <c r="J70" s="886"/>
      <c r="K70" s="1495" t="str">
        <f t="shared" si="0"/>
        <v/>
      </c>
    </row>
    <row r="71" spans="1:31" s="1721" customFormat="1" ht="22.5" customHeight="1">
      <c r="A71" s="1706"/>
      <c r="B71" s="1742"/>
      <c r="C71" s="1755"/>
      <c r="D71" s="1701" t="s">
        <v>1110</v>
      </c>
      <c r="E71" s="1744" t="str">
        <f>E69&amp;".1"</f>
        <v>2.14.1</v>
      </c>
      <c r="F71" s="1746" t="s">
        <v>1738</v>
      </c>
      <c r="G71" s="1744" t="s">
        <v>1720</v>
      </c>
      <c r="H71" s="1705"/>
      <c r="I71" s="1705">
        <v>17.170909999999999</v>
      </c>
      <c r="J71" s="1707" t="s">
        <v>1723</v>
      </c>
      <c r="K71" s="1710"/>
      <c r="L71" s="1755"/>
      <c r="M71" s="1755"/>
      <c r="N71" s="1742"/>
      <c r="O71" s="1742"/>
      <c r="P71" s="1742"/>
      <c r="Q71" s="1742"/>
      <c r="R71" s="1755"/>
      <c r="S71" s="1742"/>
      <c r="T71" s="1742"/>
      <c r="U71" s="1711"/>
      <c r="V71" s="1742"/>
      <c r="W71" s="1742"/>
      <c r="X71" s="1742"/>
      <c r="Y71" s="1742"/>
      <c r="Z71" s="1742"/>
    </row>
    <row r="72" spans="1:31" s="1742" customFormat="1" ht="36.75" customHeight="1">
      <c r="A72" s="880"/>
      <c r="C72" s="1495"/>
      <c r="D72" s="1492"/>
      <c r="E72" s="497"/>
      <c r="F72" s="498" t="s">
        <v>1739</v>
      </c>
      <c r="G72" s="499"/>
      <c r="H72" s="500"/>
      <c r="I72" s="500"/>
      <c r="J72" s="219"/>
      <c r="K72" s="1495"/>
      <c r="L72" s="1495"/>
      <c r="M72" s="1495"/>
      <c r="R72" s="1495"/>
      <c r="U72" s="471"/>
      <c r="AA72" s="1491"/>
      <c r="AB72" s="1491"/>
      <c r="AC72" s="1491"/>
      <c r="AD72" s="1491"/>
      <c r="AE72" s="1491"/>
    </row>
    <row r="73" spans="1:31" s="1742" customFormat="1" ht="36.75" hidden="1" customHeight="1">
      <c r="A73" s="882" t="s">
        <v>1740</v>
      </c>
      <c r="C73" s="1495"/>
      <c r="D73" s="1497"/>
      <c r="E73" s="473" t="str">
        <f>FHD_NUM_P_34</f>
        <v/>
      </c>
      <c r="F73" s="620" t="str">
        <f>FHD_P_34</f>
        <v/>
      </c>
      <c r="G73" s="1504" t="s">
        <v>1720</v>
      </c>
      <c r="H73" s="484"/>
      <c r="I73" s="484"/>
      <c r="J73" s="207" t="str">
        <f>FHD_NOTE_P_34</f>
        <v/>
      </c>
      <c r="K73" s="470"/>
      <c r="L73" s="1495"/>
      <c r="M73" s="1495"/>
      <c r="R73" s="1495"/>
      <c r="U73" s="471"/>
      <c r="AA73" s="1491"/>
      <c r="AB73" s="1491"/>
      <c r="AC73" s="1491"/>
      <c r="AD73" s="1491"/>
      <c r="AE73" s="1491"/>
    </row>
    <row r="74" spans="1:31" s="1742" customFormat="1" ht="36.75" customHeight="1">
      <c r="A74" s="880"/>
      <c r="C74" s="1495"/>
      <c r="D74" s="502"/>
      <c r="E74" s="473" t="str">
        <f>FHD_NUM_P_35</f>
        <v>3</v>
      </c>
      <c r="F74" s="620" t="str">
        <f>FHD_P_35</f>
        <v>Чистая прибыль, полученная от регулируемого вида деятельности в сфере горячего водоснабжения, в том числе:</v>
      </c>
      <c r="G74" s="1504" t="s">
        <v>1720</v>
      </c>
      <c r="H74" s="484"/>
      <c r="I74" s="484">
        <v>-66.317800000000005</v>
      </c>
      <c r="J74" s="207" t="str">
        <f>FHD_NOTE_P_35</f>
        <v>Указывается общая сумма чистой прибыли, полученной от регулируемого вида деятельности.</v>
      </c>
      <c r="K74" s="470"/>
      <c r="L74" s="1495"/>
      <c r="M74" s="1495"/>
      <c r="R74" s="1495"/>
      <c r="U74" s="471"/>
      <c r="AA74" s="1491"/>
      <c r="AB74" s="1491"/>
      <c r="AC74" s="1491"/>
      <c r="AD74" s="1491"/>
      <c r="AE74" s="1491"/>
    </row>
    <row r="75" spans="1:31" s="1742" customFormat="1" ht="36.75" customHeight="1">
      <c r="A75" s="880"/>
      <c r="C75" s="1495"/>
      <c r="D75" s="1497"/>
      <c r="E75" s="473" t="str">
        <f>FHD_NUM_P_36</f>
        <v>3.1</v>
      </c>
      <c r="F75" s="848" t="str">
        <f>FHD_P_36</f>
        <v>Размер расходования чистой прибыли на финансирование мероприятий, предусмотренных инвестиционной программой регулируемой организации</v>
      </c>
      <c r="G75" s="1504" t="s">
        <v>1720</v>
      </c>
      <c r="H75" s="484"/>
      <c r="I75" s="484">
        <v>0</v>
      </c>
      <c r="J75" s="207" t="str">
        <f>FHD_NOTE_P_36</f>
        <v/>
      </c>
      <c r="K75" s="470"/>
      <c r="L75" s="1495"/>
      <c r="M75" s="1495"/>
      <c r="R75" s="1495"/>
      <c r="U75" s="471"/>
      <c r="AA75" s="1491"/>
      <c r="AB75" s="1491"/>
      <c r="AC75" s="1491"/>
      <c r="AD75" s="1491"/>
      <c r="AE75" s="1491"/>
    </row>
    <row r="76" spans="1:31" s="1742" customFormat="1" ht="36.75" customHeight="1">
      <c r="A76" s="880"/>
      <c r="C76" s="1495"/>
      <c r="D76" s="1497"/>
      <c r="E76" s="473" t="str">
        <f>FHD_NUM_P_37</f>
        <v>4</v>
      </c>
      <c r="F76" s="620" t="str">
        <f>FHD_P_37</f>
        <v>Изменение стоимости основных фондов, в том числе:</v>
      </c>
      <c r="G76" s="1504" t="s">
        <v>1720</v>
      </c>
      <c r="H76" s="484"/>
      <c r="I76" s="484">
        <v>0</v>
      </c>
      <c r="J76" s="207" t="str">
        <f>FHD_NOTE_P_37</f>
        <v>Указывается общее изменение стоимости основных фондов.</v>
      </c>
      <c r="K76" s="470"/>
      <c r="L76" s="1495"/>
      <c r="M76" s="1495"/>
      <c r="R76" s="1495"/>
      <c r="U76" s="471"/>
      <c r="AA76" s="1491"/>
      <c r="AB76" s="1491"/>
      <c r="AC76" s="1491"/>
      <c r="AD76" s="1491"/>
      <c r="AE76" s="1491"/>
    </row>
    <row r="77" spans="1:31" s="1742" customFormat="1" ht="36.75" customHeight="1">
      <c r="A77" s="880"/>
      <c r="C77" s="1495"/>
      <c r="D77" s="1497"/>
      <c r="E77" s="473" t="str">
        <f>FHD_NUM_P_38</f>
        <v>4.1</v>
      </c>
      <c r="F77" s="848" t="str">
        <f>FHD_P_38</f>
        <v>Изменение стоимости основных фондов за счет их ввода в эксплуатацию (вывода из эксплуатации)</v>
      </c>
      <c r="G77" s="1504" t="s">
        <v>1720</v>
      </c>
      <c r="H77" s="484"/>
      <c r="I77" s="484">
        <v>0</v>
      </c>
      <c r="J77" s="207" t="str">
        <f>FHD_NOTE_P_38</f>
        <v>Указываются общее изменение стоимости основных фондов за счет их ввода в эксплуатацию и вывода из эксплуатации.</v>
      </c>
      <c r="K77" s="470"/>
      <c r="L77" s="1495"/>
      <c r="M77" s="1495"/>
      <c r="R77" s="1495"/>
      <c r="U77" s="471"/>
      <c r="AA77" s="1491"/>
      <c r="AB77" s="1491"/>
      <c r="AC77" s="1491"/>
      <c r="AD77" s="1491"/>
      <c r="AE77" s="1491"/>
    </row>
    <row r="78" spans="1:31" s="1742" customFormat="1" ht="36.75" customHeight="1">
      <c r="A78" s="880"/>
      <c r="C78" s="1495"/>
      <c r="D78" s="1497"/>
      <c r="E78" s="473" t="str">
        <f>FHD_NUM_P_39</f>
        <v>4.1.1</v>
      </c>
      <c r="F78" s="1508" t="str">
        <f>FHD_P_39</f>
        <v>Изменение стоимости основных фондов за счет их ввода в эксплуатацию</v>
      </c>
      <c r="G78" s="1504" t="s">
        <v>1720</v>
      </c>
      <c r="H78" s="484"/>
      <c r="I78" s="484">
        <v>0</v>
      </c>
      <c r="J78" s="207" t="str">
        <f>FHD_NOTE_P_39</f>
        <v>Указываются изменение стоимости основных фондов за счет их ввода в эксплуатацию.</v>
      </c>
      <c r="K78" s="470"/>
      <c r="L78" s="1495"/>
      <c r="M78" s="1495"/>
      <c r="R78" s="1495"/>
      <c r="U78" s="471"/>
      <c r="AA78" s="1491"/>
      <c r="AB78" s="1491"/>
      <c r="AC78" s="1491"/>
      <c r="AD78" s="1491"/>
      <c r="AE78" s="1491"/>
    </row>
    <row r="79" spans="1:31" s="1742" customFormat="1" ht="36.75" customHeight="1">
      <c r="A79" s="880"/>
      <c r="C79" s="1495"/>
      <c r="D79" s="1497"/>
      <c r="E79" s="473" t="str">
        <f>FHD_NUM_P_40</f>
        <v>4.1.2</v>
      </c>
      <c r="F79" s="1508" t="str">
        <f>FHD_P_40</f>
        <v>Изменение стоимости основных фондов за счет их вывода в эксплуатацию</v>
      </c>
      <c r="G79" s="1504" t="s">
        <v>1720</v>
      </c>
      <c r="H79" s="484"/>
      <c r="I79" s="484">
        <v>0</v>
      </c>
      <c r="J79" s="207" t="str">
        <f>FHD_NOTE_P_40</f>
        <v>Указываются изменение стоимости основных фондов за счет их вывода из эксплуатации.</v>
      </c>
      <c r="K79" s="470"/>
      <c r="L79" s="1495"/>
      <c r="M79" s="1495"/>
      <c r="R79" s="1495"/>
      <c r="U79" s="471"/>
      <c r="AA79" s="1491"/>
      <c r="AB79" s="1491"/>
      <c r="AC79" s="1491"/>
      <c r="AD79" s="1491"/>
      <c r="AE79" s="1491"/>
    </row>
    <row r="80" spans="1:31" s="1742" customFormat="1" ht="36.75" customHeight="1">
      <c r="A80" s="880"/>
      <c r="C80" s="1495"/>
      <c r="D80" s="1497"/>
      <c r="E80" s="473" t="str">
        <f>FHD_NUM_P_41</f>
        <v>4.2</v>
      </c>
      <c r="F80" s="848" t="str">
        <f>FHD_P_41</f>
        <v>Изменение стоимости основных фондов за счет их переоценки</v>
      </c>
      <c r="G80" s="1502" t="s">
        <v>1720</v>
      </c>
      <c r="H80" s="484"/>
      <c r="I80" s="484">
        <v>0</v>
      </c>
      <c r="J80" s="207" t="str">
        <f>FHD_NOTE_P_41</f>
        <v/>
      </c>
      <c r="K80" s="470"/>
      <c r="L80" s="1495"/>
      <c r="M80" s="1495"/>
      <c r="R80" s="1495"/>
      <c r="U80" s="471"/>
      <c r="AA80" s="1491"/>
      <c r="AB80" s="1491"/>
      <c r="AC80" s="1491"/>
      <c r="AD80" s="1491"/>
      <c r="AE80" s="1491"/>
    </row>
    <row r="81" spans="1:31" s="1742" customFormat="1" ht="36.75" customHeight="1">
      <c r="A81" s="882" t="s">
        <v>1741</v>
      </c>
      <c r="C81" s="1495"/>
      <c r="D81" s="1497"/>
      <c r="E81" s="473" t="str">
        <f>FHD_NUM_P_42</f>
        <v>5</v>
      </c>
      <c r="F81" s="620" t="str">
        <f>FHD_P_42</f>
        <v>Валовая прибыль (убытки) от продажи товаров и услуг по регулируемым видам деятельности в сфере горячего водоснабжения</v>
      </c>
      <c r="G81" s="1504" t="s">
        <v>1720</v>
      </c>
      <c r="H81" s="870"/>
      <c r="I81" s="484">
        <v>0</v>
      </c>
      <c r="J81" s="207" t="str">
        <f>FHD_NOTE_P_42</f>
        <v/>
      </c>
      <c r="K81" s="470"/>
      <c r="L81" s="1495"/>
      <c r="M81" s="1495"/>
      <c r="R81" s="1495"/>
      <c r="U81" s="471"/>
      <c r="AA81" s="1491"/>
      <c r="AB81" s="1491"/>
      <c r="AC81" s="1491"/>
      <c r="AD81" s="1491"/>
      <c r="AE81" s="1491"/>
    </row>
    <row r="82" spans="1:31" s="1742" customFormat="1" ht="36.75" customHeight="1">
      <c r="A82" s="880"/>
      <c r="C82" s="1495"/>
      <c r="D82" s="1497"/>
      <c r="E82" s="473" t="str">
        <f>FHD_NUM_P_43</f>
        <v>6</v>
      </c>
      <c r="F82" s="620" t="str">
        <f>FHD_P_43</f>
        <v>Годовая бухгалтерская (финансовая) отчетность, включая бухгалтерский баланс и приложения к нему</v>
      </c>
      <c r="G82" s="1504" t="s">
        <v>298</v>
      </c>
      <c r="H82" s="1956"/>
      <c r="I82" s="1957" t="s">
        <v>1742</v>
      </c>
      <c r="J82" s="207" t="str">
        <f>FHD_NOTE_P_43</f>
        <v>Указывается ссылка на документ, предварительно загруженный в хранилище файлов ФГИС ЕИАС._x000D_
Раскрывается регулируемой организацией, выручка от регулируемых видов деятельности в сфере водоотведения и (или) водоотведения которой превышает 80 процентов совокупной выручки за отчетный год.</v>
      </c>
      <c r="K82" s="470"/>
      <c r="L82" s="1495"/>
      <c r="M82" s="1495"/>
      <c r="R82" s="1495"/>
      <c r="U82" s="471"/>
      <c r="AA82" s="1491"/>
      <c r="AB82" s="1491"/>
      <c r="AC82" s="1491"/>
      <c r="AD82" s="1491"/>
      <c r="AE82" s="1491"/>
    </row>
    <row r="83" spans="1:31" s="1742" customFormat="1" ht="36.75" hidden="1" customHeight="1">
      <c r="A83" s="2329" t="s">
        <v>1743</v>
      </c>
      <c r="C83" s="649"/>
      <c r="D83" s="647"/>
      <c r="E83" s="473" t="str">
        <f>FHD_NUM_P_44</f>
        <v/>
      </c>
      <c r="F83" s="620" t="str">
        <f>FHD_P_44</f>
        <v/>
      </c>
      <c r="G83" s="634" t="s">
        <v>1744</v>
      </c>
      <c r="H83" s="871"/>
      <c r="I83" s="504"/>
      <c r="J83" s="207" t="str">
        <f>FHD_NOTE_P_44</f>
        <v/>
      </c>
      <c r="K83" s="648"/>
      <c r="L83" s="649"/>
      <c r="M83" s="649"/>
      <c r="R83" s="649"/>
      <c r="U83" s="650"/>
      <c r="AA83" s="651"/>
      <c r="AB83" s="651"/>
      <c r="AC83" s="651"/>
      <c r="AD83" s="651"/>
      <c r="AE83" s="651"/>
    </row>
    <row r="84" spans="1:31" s="1742" customFormat="1" ht="36.75" hidden="1" customHeight="1">
      <c r="A84" s="2329"/>
      <c r="C84" s="649"/>
      <c r="D84" s="647"/>
      <c r="E84" s="473" t="str">
        <f>FHD_NUM_P_45</f>
        <v/>
      </c>
      <c r="F84" s="620" t="str">
        <f>FHD_P_45</f>
        <v/>
      </c>
      <c r="G84" s="634" t="s">
        <v>1744</v>
      </c>
      <c r="H84" s="871"/>
      <c r="I84" s="504"/>
      <c r="J84" s="207" t="str">
        <f>FHD_NOTE_P_45</f>
        <v/>
      </c>
      <c r="K84" s="648"/>
      <c r="L84" s="649"/>
      <c r="M84" s="649"/>
      <c r="R84" s="649"/>
      <c r="U84" s="650"/>
      <c r="AA84" s="651"/>
      <c r="AB84" s="651"/>
      <c r="AC84" s="651"/>
      <c r="AD84" s="651"/>
      <c r="AE84" s="651"/>
    </row>
    <row r="85" spans="1:31" s="1742" customFormat="1" ht="36.75" hidden="1" customHeight="1">
      <c r="A85" s="2329"/>
      <c r="C85" s="649"/>
      <c r="D85" s="652"/>
      <c r="E85" s="473" t="str">
        <f>FHD_NUM_P_46</f>
        <v/>
      </c>
      <c r="F85" s="620" t="str">
        <f>FHD_P_46</f>
        <v/>
      </c>
      <c r="G85" s="634" t="s">
        <v>1744</v>
      </c>
      <c r="H85" s="871"/>
      <c r="I85" s="504"/>
      <c r="J85" s="207" t="str">
        <f>FHD_NOTE_P_46</f>
        <v/>
      </c>
      <c r="K85" s="648"/>
      <c r="L85" s="649"/>
      <c r="M85" s="649"/>
      <c r="R85" s="649"/>
      <c r="U85" s="650"/>
      <c r="AA85" s="651"/>
      <c r="AB85" s="651"/>
      <c r="AC85" s="651"/>
      <c r="AD85" s="651"/>
      <c r="AE85" s="651"/>
    </row>
    <row r="86" spans="1:31" s="1742" customFormat="1" ht="36.75" hidden="1" customHeight="1">
      <c r="A86" s="2329"/>
      <c r="C86" s="649"/>
      <c r="D86" s="647"/>
      <c r="E86" s="473" t="str">
        <f>FHD_NUM_P_47</f>
        <v/>
      </c>
      <c r="F86" s="620" t="str">
        <f>FHD_P_47</f>
        <v/>
      </c>
      <c r="G86" s="634" t="s">
        <v>1744</v>
      </c>
      <c r="H86" s="871"/>
      <c r="I86" s="504"/>
      <c r="J86" s="207" t="str">
        <f>FHD_NOTE_P_47</f>
        <v/>
      </c>
      <c r="K86" s="648"/>
      <c r="L86" s="649"/>
      <c r="M86" s="649"/>
      <c r="R86" s="649"/>
      <c r="U86" s="650"/>
      <c r="AA86" s="651"/>
      <c r="AB86" s="651"/>
      <c r="AC86" s="651"/>
      <c r="AD86" s="651"/>
      <c r="AE86" s="651"/>
    </row>
    <row r="87" spans="1:31" s="1829" customFormat="1" ht="36.75" hidden="1" customHeight="1">
      <c r="A87" s="2329"/>
      <c r="B87" s="810"/>
      <c r="C87" s="649"/>
      <c r="D87" s="647"/>
      <c r="E87" s="473" t="str">
        <f>FHD_NUM_P_48</f>
        <v/>
      </c>
      <c r="F87" s="620" t="str">
        <f>FHD_P_48</f>
        <v/>
      </c>
      <c r="G87" s="634" t="s">
        <v>1744</v>
      </c>
      <c r="H87" s="871"/>
      <c r="I87" s="504"/>
      <c r="J87" s="207" t="str">
        <f>FHD_NOTE_P_48</f>
        <v/>
      </c>
      <c r="K87" s="648"/>
      <c r="L87" s="649"/>
      <c r="M87" s="649"/>
      <c r="N87" s="810"/>
      <c r="O87" s="810"/>
      <c r="P87" s="810"/>
      <c r="Q87" s="810"/>
      <c r="R87" s="649"/>
      <c r="S87" s="810"/>
      <c r="T87" s="810"/>
      <c r="U87" s="650"/>
      <c r="V87" s="810"/>
      <c r="W87" s="810"/>
      <c r="X87" s="810"/>
      <c r="Y87" s="810"/>
      <c r="Z87" s="810"/>
      <c r="AA87" s="651"/>
      <c r="AB87" s="651"/>
      <c r="AC87" s="651"/>
      <c r="AD87" s="651"/>
      <c r="AE87" s="651"/>
    </row>
    <row r="88" spans="1:31" s="1829" customFormat="1" ht="36.75" hidden="1" customHeight="1">
      <c r="A88" s="2329"/>
      <c r="B88" s="810"/>
      <c r="C88" s="649"/>
      <c r="D88" s="647"/>
      <c r="E88" s="473" t="str">
        <f>FHD_NUM_P_49</f>
        <v/>
      </c>
      <c r="F88" s="620" t="str">
        <f>FHD_P_49</f>
        <v/>
      </c>
      <c r="G88" s="634" t="s">
        <v>1744</v>
      </c>
      <c r="H88" s="872">
        <f>SUM(H89:H90)</f>
        <v>0</v>
      </c>
      <c r="I88" s="662">
        <f>SUM(I89:I90)</f>
        <v>0</v>
      </c>
      <c r="J88" s="207" t="str">
        <f>FHD_NOTE_P_49</f>
        <v/>
      </c>
      <c r="K88" s="648"/>
      <c r="L88" s="649"/>
      <c r="M88" s="649"/>
      <c r="N88" s="810"/>
      <c r="O88" s="810"/>
      <c r="P88" s="810"/>
      <c r="Q88" s="810"/>
      <c r="R88" s="649"/>
      <c r="S88" s="810"/>
      <c r="T88" s="810"/>
      <c r="U88" s="650"/>
      <c r="V88" s="810"/>
      <c r="W88" s="810"/>
      <c r="X88" s="810"/>
      <c r="Y88" s="810"/>
      <c r="Z88" s="810"/>
      <c r="AA88" s="651"/>
      <c r="AB88" s="651"/>
      <c r="AC88" s="651"/>
      <c r="AD88" s="651"/>
      <c r="AE88" s="651"/>
    </row>
    <row r="89" spans="1:31" s="1829" customFormat="1" ht="36.75" hidden="1" customHeight="1">
      <c r="A89" s="2329"/>
      <c r="B89" s="810"/>
      <c r="C89" s="649"/>
      <c r="D89" s="647"/>
      <c r="E89" s="473" t="str">
        <f>FHD_NUM_P_50</f>
        <v/>
      </c>
      <c r="F89" s="620" t="str">
        <f>FHD_P_50</f>
        <v/>
      </c>
      <c r="G89" s="634" t="s">
        <v>1744</v>
      </c>
      <c r="H89" s="871"/>
      <c r="I89" s="504"/>
      <c r="J89" s="207" t="str">
        <f>FHD_NOTE_P_50</f>
        <v/>
      </c>
      <c r="K89" s="648"/>
      <c r="L89" s="649"/>
      <c r="M89" s="649"/>
      <c r="N89" s="810"/>
      <c r="O89" s="810"/>
      <c r="P89" s="810"/>
      <c r="Q89" s="810"/>
      <c r="R89" s="649"/>
      <c r="S89" s="810"/>
      <c r="T89" s="810"/>
      <c r="U89" s="650"/>
      <c r="V89" s="810"/>
      <c r="W89" s="810"/>
      <c r="X89" s="810"/>
      <c r="Y89" s="810"/>
      <c r="Z89" s="810"/>
      <c r="AA89" s="651"/>
      <c r="AB89" s="651"/>
      <c r="AC89" s="651"/>
      <c r="AD89" s="651"/>
      <c r="AE89" s="651"/>
    </row>
    <row r="90" spans="1:31" s="1829" customFormat="1" ht="36.75" hidden="1" customHeight="1">
      <c r="A90" s="2329"/>
      <c r="B90" s="810"/>
      <c r="C90" s="649"/>
      <c r="D90" s="647"/>
      <c r="E90" s="473" t="str">
        <f>FHD_NUM_P_51</f>
        <v/>
      </c>
      <c r="F90" s="620" t="str">
        <f>FHD_P_51</f>
        <v/>
      </c>
      <c r="G90" s="634" t="s">
        <v>1744</v>
      </c>
      <c r="H90" s="871"/>
      <c r="I90" s="504"/>
      <c r="J90" s="207" t="str">
        <f>FHD_NOTE_P_51</f>
        <v/>
      </c>
      <c r="K90" s="648"/>
      <c r="L90" s="649"/>
      <c r="M90" s="649"/>
      <c r="N90" s="810"/>
      <c r="O90" s="810"/>
      <c r="P90" s="810"/>
      <c r="Q90" s="810"/>
      <c r="R90" s="649"/>
      <c r="S90" s="810"/>
      <c r="T90" s="810"/>
      <c r="U90" s="650"/>
      <c r="V90" s="810"/>
      <c r="W90" s="810"/>
      <c r="X90" s="810"/>
      <c r="Y90" s="810"/>
      <c r="Z90" s="810"/>
      <c r="AA90" s="651"/>
      <c r="AB90" s="651"/>
      <c r="AC90" s="651"/>
      <c r="AD90" s="651"/>
      <c r="AE90" s="651"/>
    </row>
    <row r="91" spans="1:31" s="1829" customFormat="1" ht="36.75" hidden="1" customHeight="1">
      <c r="A91" s="2329"/>
      <c r="B91" s="810"/>
      <c r="C91" s="649"/>
      <c r="D91" s="647"/>
      <c r="E91" s="473" t="str">
        <f>FHD_NUM_P_52</f>
        <v/>
      </c>
      <c r="F91" s="620" t="str">
        <f>FHD_P_52</f>
        <v/>
      </c>
      <c r="G91" s="634" t="s">
        <v>1620</v>
      </c>
      <c r="H91" s="870"/>
      <c r="I91" s="484"/>
      <c r="J91" s="207" t="str">
        <f>FHD_NOTE_P_52</f>
        <v/>
      </c>
      <c r="K91" s="648"/>
      <c r="L91" s="649"/>
      <c r="M91" s="649"/>
      <c r="N91" s="810"/>
      <c r="O91" s="810"/>
      <c r="P91" s="810"/>
      <c r="Q91" s="810"/>
      <c r="R91" s="649"/>
      <c r="S91" s="810"/>
      <c r="T91" s="810"/>
      <c r="U91" s="650"/>
      <c r="V91" s="810"/>
      <c r="W91" s="810"/>
      <c r="X91" s="810"/>
      <c r="Y91" s="810"/>
      <c r="Z91" s="810"/>
      <c r="AA91" s="651"/>
      <c r="AB91" s="651"/>
      <c r="AC91" s="651"/>
      <c r="AD91" s="651"/>
      <c r="AE91" s="651"/>
    </row>
    <row r="92" spans="1:31" s="1742" customFormat="1" ht="36.75" customHeight="1">
      <c r="A92" s="2329" t="s">
        <v>1745</v>
      </c>
      <c r="C92" s="649"/>
      <c r="D92" s="647"/>
      <c r="E92" s="473" t="str">
        <f>FHD_NUM_P_53</f>
        <v>7</v>
      </c>
      <c r="F92" s="620" t="str">
        <f>FHD_P_53</f>
        <v>Объём приобретаемой холодной воды, используемой для горячего водоснабжения</v>
      </c>
      <c r="G92" s="634" t="s">
        <v>1744</v>
      </c>
      <c r="H92" s="871"/>
      <c r="I92" s="504">
        <v>2.6269999999999998</v>
      </c>
      <c r="J92" s="207" t="str">
        <f>FHD_NOTE_P_53</f>
        <v/>
      </c>
      <c r="K92" s="648"/>
      <c r="L92" s="649"/>
      <c r="M92" s="649"/>
      <c r="R92" s="649"/>
      <c r="U92" s="650"/>
      <c r="AA92" s="651"/>
      <c r="AB92" s="651"/>
      <c r="AC92" s="651"/>
      <c r="AD92" s="651"/>
      <c r="AE92" s="651"/>
    </row>
    <row r="93" spans="1:31" s="1742" customFormat="1" ht="36.75" customHeight="1">
      <c r="A93" s="2329"/>
      <c r="C93" s="649"/>
      <c r="D93" s="647"/>
      <c r="E93" s="473" t="str">
        <f>FHD_NUM_P_54</f>
        <v>8</v>
      </c>
      <c r="F93" s="620" t="str">
        <f>FHD_P_54</f>
        <v>Объём холодной воды, получаемой с применением собственных источников водозабора (скважин) и используемой для горячего водоснабжения</v>
      </c>
      <c r="G93" s="634" t="s">
        <v>1744</v>
      </c>
      <c r="H93" s="871"/>
      <c r="I93" s="504">
        <v>0</v>
      </c>
      <c r="J93" s="207" t="str">
        <f>FHD_NOTE_P_54</f>
        <v/>
      </c>
      <c r="K93" s="648"/>
      <c r="L93" s="649"/>
      <c r="M93" s="649"/>
      <c r="R93" s="649"/>
      <c r="U93" s="650"/>
      <c r="AA93" s="651"/>
      <c r="AB93" s="651"/>
      <c r="AC93" s="651"/>
      <c r="AD93" s="651"/>
      <c r="AE93" s="651"/>
    </row>
    <row r="94" spans="1:31" s="1742" customFormat="1" ht="36.75" customHeight="1">
      <c r="A94" s="2329"/>
      <c r="C94" s="649"/>
      <c r="D94" s="652"/>
      <c r="E94" s="473" t="str">
        <f>FHD_NUM_P_55</f>
        <v>9</v>
      </c>
      <c r="F94" s="620" t="str">
        <f>FHD_P_55</f>
        <v>Объём приобретаемой тепловой энергии (мощности), используемой для горячего водоснабжения</v>
      </c>
      <c r="G94" s="786" t="s">
        <v>1017</v>
      </c>
      <c r="H94" s="871"/>
      <c r="I94" s="504">
        <v>0</v>
      </c>
      <c r="J94" s="207" t="str">
        <f>FHD_NOTE_P_55</f>
        <v/>
      </c>
      <c r="K94" s="648"/>
      <c r="L94" s="649"/>
      <c r="M94" s="649"/>
      <c r="R94" s="649"/>
      <c r="U94" s="650"/>
      <c r="AA94" s="651"/>
      <c r="AB94" s="651"/>
      <c r="AC94" s="651"/>
      <c r="AD94" s="651"/>
      <c r="AE94" s="651"/>
    </row>
    <row r="95" spans="1:31" s="1742" customFormat="1" ht="36.75" customHeight="1">
      <c r="A95" s="2329"/>
      <c r="C95" s="649"/>
      <c r="D95" s="647"/>
      <c r="E95" s="473" t="str">
        <f>FHD_NUM_P_56</f>
        <v>10</v>
      </c>
      <c r="F95" s="620" t="str">
        <f>FHD_P_56</f>
        <v>Объём тепловой энергии, производимой с применением собственных источников и используемой для горячего водоснабжения</v>
      </c>
      <c r="G95" s="634" t="s">
        <v>1017</v>
      </c>
      <c r="H95" s="871"/>
      <c r="I95" s="504">
        <v>0.16950000000000001</v>
      </c>
      <c r="J95" s="207" t="str">
        <f>FHD_NOTE_P_56</f>
        <v/>
      </c>
      <c r="K95" s="648"/>
      <c r="L95" s="649"/>
      <c r="M95" s="649"/>
      <c r="R95" s="649"/>
      <c r="U95" s="650"/>
      <c r="AA95" s="651"/>
      <c r="AB95" s="651"/>
      <c r="AC95" s="651"/>
      <c r="AD95" s="651"/>
      <c r="AE95" s="651"/>
    </row>
    <row r="96" spans="1:31" s="1829" customFormat="1" ht="36.75" customHeight="1">
      <c r="A96" s="2329"/>
      <c r="B96" s="810"/>
      <c r="C96" s="649"/>
      <c r="D96" s="647"/>
      <c r="E96" s="473" t="str">
        <f>FHD_NUM_P_57</f>
        <v>11</v>
      </c>
      <c r="F96" s="620" t="str">
        <f>FHD_P_57</f>
        <v>Потери горячей воды в сетях (процентов)</v>
      </c>
      <c r="G96" s="634" t="s">
        <v>1620</v>
      </c>
      <c r="H96" s="870"/>
      <c r="I96" s="484">
        <v>0</v>
      </c>
      <c r="J96" s="207" t="str">
        <f>FHD_NOTE_P_57</f>
        <v/>
      </c>
      <c r="K96" s="648"/>
      <c r="L96" s="649"/>
      <c r="M96" s="649"/>
      <c r="N96" s="810"/>
      <c r="O96" s="810"/>
      <c r="P96" s="810"/>
      <c r="Q96" s="810"/>
      <c r="R96" s="649"/>
      <c r="S96" s="810"/>
      <c r="T96" s="810"/>
      <c r="U96" s="650"/>
      <c r="V96" s="810"/>
      <c r="W96" s="810"/>
      <c r="X96" s="810"/>
      <c r="Y96" s="810"/>
      <c r="Z96" s="810"/>
      <c r="AA96" s="651"/>
      <c r="AB96" s="651"/>
      <c r="AC96" s="651"/>
      <c r="AD96" s="651"/>
      <c r="AE96" s="651"/>
    </row>
    <row r="97" spans="1:31" ht="36.75" hidden="1" customHeight="1">
      <c r="A97" s="2329" t="s">
        <v>1746</v>
      </c>
      <c r="D97" s="1497"/>
      <c r="E97" s="473" t="str">
        <f>FHD_NUM_P_58</f>
        <v/>
      </c>
      <c r="F97" s="620" t="str">
        <f>FHD_P_58</f>
        <v/>
      </c>
      <c r="G97" s="634" t="s">
        <v>1744</v>
      </c>
      <c r="H97" s="871"/>
      <c r="I97" s="504"/>
      <c r="J97" s="207" t="str">
        <f>FHD_NOTE_P_58</f>
        <v/>
      </c>
      <c r="K97" s="470"/>
    </row>
    <row r="98" spans="1:31" ht="36.75" hidden="1" customHeight="1">
      <c r="A98" s="2329"/>
      <c r="D98" s="1497"/>
      <c r="E98" s="473" t="str">
        <f>FHD_NUM_P_59</f>
        <v/>
      </c>
      <c r="F98" s="620" t="str">
        <f>FHD_P_59</f>
        <v/>
      </c>
      <c r="G98" s="634" t="s">
        <v>1744</v>
      </c>
      <c r="H98" s="871"/>
      <c r="I98" s="504"/>
      <c r="J98" s="207" t="str">
        <f>FHD_NOTE_P_59</f>
        <v/>
      </c>
      <c r="K98" s="470"/>
    </row>
    <row r="99" spans="1:31" ht="36.75" hidden="1" customHeight="1">
      <c r="A99" s="2329"/>
      <c r="D99" s="1497"/>
      <c r="E99" s="473" t="str">
        <f>FHD_NUM_P_60</f>
        <v/>
      </c>
      <c r="F99" s="620" t="str">
        <f>FHD_P_60</f>
        <v/>
      </c>
      <c r="G99" s="634" t="s">
        <v>1744</v>
      </c>
      <c r="H99" s="871"/>
      <c r="I99" s="504"/>
      <c r="J99" s="207" t="str">
        <f>FHD_NOTE_P_60</f>
        <v/>
      </c>
      <c r="K99" s="470"/>
    </row>
    <row r="100" spans="1:31" s="1742" customFormat="1" ht="36.75" hidden="1" customHeight="1">
      <c r="A100" s="2329" t="s">
        <v>1747</v>
      </c>
      <c r="C100" s="1495"/>
      <c r="D100" s="1497"/>
      <c r="E100" s="473" t="str">
        <f>FHD_NUM_P_61</f>
        <v/>
      </c>
      <c r="F100" s="620" t="str">
        <f>FHD_P_61</f>
        <v/>
      </c>
      <c r="G100" s="1504" t="s">
        <v>801</v>
      </c>
      <c r="H100" s="873"/>
      <c r="I100" s="655"/>
      <c r="J100" s="207" t="str">
        <f>FHD_NOTE_P_61</f>
        <v/>
      </c>
      <c r="K100" s="470"/>
      <c r="L100" s="1495"/>
      <c r="M100" s="1495"/>
      <c r="R100" s="1495"/>
      <c r="U100" s="471"/>
      <c r="AA100" s="1491"/>
      <c r="AB100" s="1491"/>
      <c r="AC100" s="1491"/>
      <c r="AD100" s="1491"/>
      <c r="AE100" s="1491"/>
    </row>
    <row r="101" spans="1:31" s="1755" customFormat="1" ht="36.75" hidden="1" customHeight="1">
      <c r="A101" s="2329"/>
      <c r="D101" s="475"/>
      <c r="E101" s="708" t="str">
        <f>E100&amp;".0"</f>
        <v>.0</v>
      </c>
      <c r="F101" s="887"/>
      <c r="G101" s="888"/>
      <c r="H101" s="885"/>
      <c r="I101" s="885"/>
      <c r="J101" s="889"/>
    </row>
    <row r="102" spans="1:31" ht="36.75" hidden="1" customHeight="1">
      <c r="A102" s="2329"/>
      <c r="D102" s="1492"/>
      <c r="E102" s="865"/>
      <c r="F102" s="866" t="s">
        <v>1558</v>
      </c>
      <c r="G102" s="499"/>
      <c r="H102" s="500"/>
      <c r="I102" s="500"/>
      <c r="J102" s="896" t="s">
        <v>1748</v>
      </c>
      <c r="K102" s="470"/>
    </row>
    <row r="103" spans="1:31" s="1742" customFormat="1" ht="36.75" hidden="1" customHeight="1">
      <c r="A103" s="2329"/>
      <c r="C103" s="1495"/>
      <c r="D103" s="1497"/>
      <c r="E103" s="473" t="str">
        <f>FHD_NUM_P_62</f>
        <v/>
      </c>
      <c r="F103" s="620" t="str">
        <f>FHD_P_62</f>
        <v/>
      </c>
      <c r="G103" s="1501" t="s">
        <v>801</v>
      </c>
      <c r="H103" s="484"/>
      <c r="I103" s="484"/>
      <c r="J103" s="207" t="str">
        <f>FHD_NOTE_P_62</f>
        <v/>
      </c>
      <c r="K103" s="470"/>
      <c r="L103" s="1495"/>
      <c r="M103" s="1495"/>
      <c r="R103" s="1495"/>
      <c r="U103" s="471"/>
      <c r="AA103" s="1491"/>
      <c r="AB103" s="1491"/>
      <c r="AC103" s="1491"/>
      <c r="AD103" s="1491"/>
      <c r="AE103" s="1491"/>
    </row>
    <row r="104" spans="1:31" s="1742" customFormat="1" ht="36.75" hidden="1" customHeight="1">
      <c r="A104" s="2329"/>
      <c r="C104" s="1495"/>
      <c r="D104" s="1497"/>
      <c r="E104" s="473" t="str">
        <f>FHD_NUM_P_63</f>
        <v/>
      </c>
      <c r="F104" s="620" t="str">
        <f>FHD_P_63</f>
        <v/>
      </c>
      <c r="G104" s="1501" t="s">
        <v>1017</v>
      </c>
      <c r="H104" s="504"/>
      <c r="I104" s="504"/>
      <c r="J104" s="207" t="str">
        <f>FHD_NOTE_P_63</f>
        <v/>
      </c>
      <c r="K104" s="470"/>
      <c r="L104" s="1495"/>
      <c r="M104" s="1495"/>
      <c r="R104" s="1495"/>
      <c r="U104" s="471"/>
      <c r="AA104" s="1491"/>
      <c r="AB104" s="1491"/>
      <c r="AC104" s="1491"/>
      <c r="AD104" s="1491"/>
      <c r="AE104" s="1491"/>
    </row>
    <row r="105" spans="1:31" s="1742" customFormat="1" ht="36.75" hidden="1" customHeight="1">
      <c r="A105" s="2329"/>
      <c r="C105" s="1495" t="s">
        <v>1749</v>
      </c>
      <c r="D105" s="1497"/>
      <c r="E105" s="473" t="str">
        <f>FHD_NUM_P_64</f>
        <v/>
      </c>
      <c r="F105" s="620" t="str">
        <f>FHD_P_64</f>
        <v/>
      </c>
      <c r="G105" s="1501" t="s">
        <v>1017</v>
      </c>
      <c r="H105" s="472"/>
      <c r="I105" s="472"/>
      <c r="J105" s="207" t="str">
        <f>FHD_NOTE_P_64</f>
        <v/>
      </c>
      <c r="K105" s="470"/>
      <c r="L105" s="1495"/>
      <c r="M105" s="1495"/>
      <c r="R105" s="1495"/>
      <c r="U105" s="471"/>
      <c r="AA105" s="1491"/>
      <c r="AB105" s="1491"/>
      <c r="AC105" s="1491"/>
      <c r="AD105" s="1491"/>
      <c r="AE105" s="1491"/>
    </row>
    <row r="106" spans="1:31" s="1742" customFormat="1" ht="36.75" hidden="1" customHeight="1">
      <c r="A106" s="2329"/>
      <c r="C106" s="1495"/>
      <c r="D106" s="1497"/>
      <c r="E106" s="473" t="str">
        <f>FHD_NUM_P_65</f>
        <v/>
      </c>
      <c r="F106" s="620" t="str">
        <f>FHD_P_65</f>
        <v/>
      </c>
      <c r="G106" s="1501" t="s">
        <v>1017</v>
      </c>
      <c r="H106" s="504"/>
      <c r="I106" s="504"/>
      <c r="J106" s="207" t="str">
        <f>FHD_NOTE_P_65</f>
        <v/>
      </c>
      <c r="K106" s="470"/>
      <c r="L106" s="1495"/>
      <c r="M106" s="1495"/>
      <c r="R106" s="1495"/>
      <c r="U106" s="471"/>
      <c r="AA106" s="1491"/>
      <c r="AB106" s="1491"/>
      <c r="AC106" s="1491"/>
      <c r="AD106" s="1491"/>
      <c r="AE106" s="1491"/>
    </row>
    <row r="107" spans="1:31" s="1742" customFormat="1" ht="36.75" hidden="1" customHeight="1">
      <c r="A107" s="2329"/>
      <c r="C107" s="1495"/>
      <c r="D107" s="1497"/>
      <c r="E107" s="473" t="str">
        <f>FHD_NUM_P_66</f>
        <v/>
      </c>
      <c r="F107" s="848" t="str">
        <f>FHD_P_66</f>
        <v/>
      </c>
      <c r="G107" s="1501" t="s">
        <v>1017</v>
      </c>
      <c r="H107" s="504"/>
      <c r="I107" s="504"/>
      <c r="J107" s="207" t="str">
        <f>FHD_NOTE_P_66</f>
        <v/>
      </c>
      <c r="K107" s="470"/>
      <c r="L107" s="1495"/>
      <c r="M107" s="1495"/>
      <c r="R107" s="1495"/>
      <c r="U107" s="471"/>
      <c r="AA107" s="1491"/>
      <c r="AB107" s="1491"/>
      <c r="AC107" s="1491"/>
      <c r="AD107" s="1491"/>
      <c r="AE107" s="1491"/>
    </row>
    <row r="108" spans="1:31" s="1742" customFormat="1" ht="36.75" hidden="1" customHeight="1">
      <c r="A108" s="2329"/>
      <c r="C108" s="1495"/>
      <c r="D108" s="1497"/>
      <c r="E108" s="473" t="str">
        <f>FHD_NUM_P_67</f>
        <v/>
      </c>
      <c r="F108" s="1508" t="str">
        <f>FHD_P_67</f>
        <v/>
      </c>
      <c r="G108" s="1501" t="s">
        <v>1017</v>
      </c>
      <c r="H108" s="504"/>
      <c r="I108" s="504"/>
      <c r="J108" s="207" t="str">
        <f>FHD_NOTE_P_67</f>
        <v/>
      </c>
      <c r="K108" s="470"/>
      <c r="L108" s="1495"/>
      <c r="M108" s="1495"/>
      <c r="R108" s="1495"/>
      <c r="U108" s="471"/>
      <c r="AA108" s="1491"/>
      <c r="AB108" s="1491"/>
      <c r="AC108" s="1491"/>
      <c r="AD108" s="1491"/>
      <c r="AE108" s="1491"/>
    </row>
    <row r="109" spans="1:31" s="1742" customFormat="1" ht="36.75" hidden="1" customHeight="1">
      <c r="A109" s="2329"/>
      <c r="C109" s="1495"/>
      <c r="D109" s="1497"/>
      <c r="E109" s="473" t="str">
        <f>FHD_NUM_P_68</f>
        <v/>
      </c>
      <c r="F109" s="848" t="str">
        <f>FHD_P_68</f>
        <v/>
      </c>
      <c r="G109" s="1501" t="s">
        <v>1017</v>
      </c>
      <c r="H109" s="504"/>
      <c r="I109" s="504"/>
      <c r="J109" s="207" t="str">
        <f>FHD_NOTE_P_68</f>
        <v/>
      </c>
      <c r="K109" s="470"/>
      <c r="L109" s="1495"/>
      <c r="M109" s="1495"/>
      <c r="R109" s="1495"/>
      <c r="U109" s="471"/>
      <c r="AA109" s="1491"/>
      <c r="AB109" s="1491"/>
      <c r="AC109" s="1491"/>
      <c r="AD109" s="1491"/>
      <c r="AE109" s="1491"/>
    </row>
    <row r="110" spans="1:31" s="1742" customFormat="1" ht="36.75" hidden="1" customHeight="1">
      <c r="A110" s="2329"/>
      <c r="C110" s="1495"/>
      <c r="D110" s="1497"/>
      <c r="E110" s="473" t="str">
        <f>FHD_NUM_P_69</f>
        <v/>
      </c>
      <c r="F110" s="848" t="str">
        <f>FHD_P_69</f>
        <v/>
      </c>
      <c r="G110" s="1501" t="s">
        <v>1017</v>
      </c>
      <c r="H110" s="504"/>
      <c r="I110" s="504"/>
      <c r="J110" s="207" t="str">
        <f>FHD_NOTE_P_69</f>
        <v/>
      </c>
      <c r="K110" s="470"/>
      <c r="L110" s="1495"/>
      <c r="M110" s="1495"/>
      <c r="R110" s="1495"/>
      <c r="U110" s="471"/>
      <c r="AA110" s="1491"/>
      <c r="AB110" s="1491"/>
      <c r="AC110" s="1491"/>
      <c r="AD110" s="1491"/>
      <c r="AE110" s="1491"/>
    </row>
    <row r="111" spans="1:31" s="1742" customFormat="1" ht="36.75" hidden="1" customHeight="1">
      <c r="A111" s="2329"/>
      <c r="C111" s="1495"/>
      <c r="D111" s="1497"/>
      <c r="E111" s="473" t="str">
        <f>FHD_NUM_P_70</f>
        <v/>
      </c>
      <c r="F111" s="620" t="str">
        <f>FHD_P_70</f>
        <v/>
      </c>
      <c r="G111" s="1501" t="s">
        <v>1750</v>
      </c>
      <c r="H111" s="484"/>
      <c r="I111" s="484"/>
      <c r="J111" s="207" t="str">
        <f>FHD_NOTE_P_70</f>
        <v/>
      </c>
      <c r="K111" s="470"/>
      <c r="L111" s="1495"/>
      <c r="M111" s="1495"/>
      <c r="R111" s="1495"/>
      <c r="U111" s="471"/>
      <c r="AA111" s="1491"/>
      <c r="AB111" s="1491"/>
      <c r="AC111" s="1491"/>
      <c r="AD111" s="1491"/>
      <c r="AE111" s="1491"/>
    </row>
    <row r="112" spans="1:31" s="1742" customFormat="1" ht="36.75" hidden="1" customHeight="1">
      <c r="A112" s="2329"/>
      <c r="C112" s="1495"/>
      <c r="D112" s="1497"/>
      <c r="E112" s="473" t="str">
        <f>FHD_NUM_P_71</f>
        <v/>
      </c>
      <c r="F112" s="620" t="str">
        <f>FHD_P_71</f>
        <v/>
      </c>
      <c r="G112" s="1501" t="s">
        <v>1750</v>
      </c>
      <c r="H112" s="484"/>
      <c r="I112" s="484"/>
      <c r="J112" s="207" t="str">
        <f>FHD_NOTE_P_71</f>
        <v/>
      </c>
      <c r="K112" s="470"/>
      <c r="L112" s="1495"/>
      <c r="M112" s="1495"/>
      <c r="R112" s="1495"/>
      <c r="U112" s="471"/>
      <c r="AA112" s="1491"/>
      <c r="AB112" s="1491"/>
      <c r="AC112" s="1491"/>
      <c r="AD112" s="1491"/>
      <c r="AE112" s="1491"/>
    </row>
    <row r="113" spans="1:31" ht="36.75" customHeight="1">
      <c r="D113" s="1497"/>
      <c r="E113" s="473" t="str">
        <f>FHD_NUM_P_72</f>
        <v>12</v>
      </c>
      <c r="F113" s="620" t="str">
        <f>FHD_P_72</f>
        <v>Среднесписочная численность основного производственного персонала</v>
      </c>
      <c r="G113" s="863" t="s">
        <v>1751</v>
      </c>
      <c r="H113" s="504"/>
      <c r="I113" s="504">
        <v>1</v>
      </c>
      <c r="J113" s="207" t="str">
        <f>FHD_NOTE_P_72</f>
        <v/>
      </c>
      <c r="K113" s="470"/>
    </row>
    <row r="114" spans="1:31" ht="36.75" hidden="1" customHeight="1">
      <c r="A114" s="882" t="s">
        <v>1752</v>
      </c>
      <c r="D114" s="1497"/>
      <c r="E114" s="473" t="str">
        <f>FHD_NUM_P_73</f>
        <v/>
      </c>
      <c r="F114" s="620" t="str">
        <f>FHD_P_73</f>
        <v/>
      </c>
      <c r="G114" s="864" t="s">
        <v>1751</v>
      </c>
      <c r="H114" s="862"/>
      <c r="I114" s="862"/>
      <c r="J114" s="207" t="str">
        <f>FHD_NOTE_P_73</f>
        <v/>
      </c>
      <c r="K114" s="470"/>
    </row>
    <row r="115" spans="1:31" ht="36.75" customHeight="1">
      <c r="A115" s="882" t="s">
        <v>1753</v>
      </c>
      <c r="D115" s="1497"/>
      <c r="E115" s="473" t="str">
        <f>FHD_NUM_P_74</f>
        <v>13</v>
      </c>
      <c r="F115" s="620" t="str">
        <f>FHD_P_74</f>
        <v>Удельный расход электрической энергии на подачу воды в сеть</v>
      </c>
      <c r="G115" s="863" t="s">
        <v>1754</v>
      </c>
      <c r="H115" s="504"/>
      <c r="I115" s="504">
        <v>7.281E-2</v>
      </c>
      <c r="J115" s="207" t="str">
        <f>FHD_NOTE_P_74</f>
        <v/>
      </c>
      <c r="K115" s="470"/>
    </row>
    <row r="116" spans="1:31" s="1829" customFormat="1" ht="18.75" hidden="1" customHeight="1">
      <c r="A116" s="2329" t="s">
        <v>1755</v>
      </c>
      <c r="B116" s="810"/>
      <c r="C116" s="649"/>
      <c r="D116" s="647"/>
      <c r="E116" s="473" t="str">
        <f>FHD_NUM_P_75</f>
        <v/>
      </c>
      <c r="F116" s="620" t="str">
        <f>FHD_P_75</f>
        <v/>
      </c>
      <c r="G116" s="863" t="s">
        <v>1620</v>
      </c>
      <c r="H116" s="484"/>
      <c r="I116" s="484"/>
      <c r="J116" s="207" t="str">
        <f>FHD_NOTE_P_75</f>
        <v/>
      </c>
      <c r="K116" s="648"/>
      <c r="L116" s="649"/>
      <c r="M116" s="649"/>
      <c r="N116" s="810"/>
      <c r="O116" s="810"/>
      <c r="P116" s="810"/>
      <c r="Q116" s="810"/>
      <c r="R116" s="649"/>
      <c r="S116" s="810"/>
      <c r="T116" s="810"/>
      <c r="U116" s="650"/>
      <c r="V116" s="810"/>
      <c r="W116" s="810"/>
      <c r="X116" s="810"/>
      <c r="Y116" s="810"/>
      <c r="Z116" s="810"/>
      <c r="AA116" s="651"/>
      <c r="AB116" s="651"/>
      <c r="AC116" s="651"/>
      <c r="AD116" s="651"/>
      <c r="AE116" s="651"/>
    </row>
    <row r="117" spans="1:31" s="1829" customFormat="1" ht="18.75" hidden="1" customHeight="1">
      <c r="A117" s="2329"/>
      <c r="B117" s="810"/>
      <c r="C117" s="649"/>
      <c r="D117" s="647"/>
      <c r="E117" s="473" t="str">
        <f>FHD_NUM_P_76</f>
        <v/>
      </c>
      <c r="F117" s="620" t="str">
        <f>FHD_P_76</f>
        <v/>
      </c>
      <c r="G117" s="863" t="s">
        <v>1620</v>
      </c>
      <c r="H117" s="484"/>
      <c r="I117" s="484"/>
      <c r="J117" s="207" t="str">
        <f>FHD_NOTE_P_76</f>
        <v/>
      </c>
      <c r="K117" s="648"/>
      <c r="L117" s="649"/>
      <c r="M117" s="649"/>
      <c r="N117" s="810"/>
      <c r="O117" s="810"/>
      <c r="P117" s="810"/>
      <c r="Q117" s="810"/>
      <c r="R117" s="649"/>
      <c r="S117" s="810"/>
      <c r="T117" s="810"/>
      <c r="U117" s="650"/>
      <c r="V117" s="810"/>
      <c r="W117" s="810"/>
      <c r="X117" s="810"/>
      <c r="Y117" s="810"/>
      <c r="Z117" s="810"/>
      <c r="AA117" s="651"/>
      <c r="AB117" s="651"/>
      <c r="AC117" s="651"/>
      <c r="AD117" s="651"/>
      <c r="AE117" s="651"/>
    </row>
    <row r="118" spans="1:31" s="1829" customFormat="1" ht="18.75" hidden="1" customHeight="1">
      <c r="A118" s="2329"/>
      <c r="B118" s="810"/>
      <c r="C118" s="649"/>
      <c r="D118" s="647"/>
      <c r="E118" s="473" t="str">
        <f>FHD_NUM_P_77</f>
        <v/>
      </c>
      <c r="F118" s="620" t="str">
        <f>FHD_P_77</f>
        <v/>
      </c>
      <c r="G118" s="863" t="s">
        <v>1620</v>
      </c>
      <c r="H118" s="484"/>
      <c r="I118" s="484"/>
      <c r="J118" s="207" t="str">
        <f>FHD_NOTE_P_77</f>
        <v/>
      </c>
      <c r="K118" s="648"/>
      <c r="L118" s="649"/>
      <c r="M118" s="649"/>
      <c r="N118" s="810"/>
      <c r="O118" s="810"/>
      <c r="P118" s="810"/>
      <c r="Q118" s="810"/>
      <c r="R118" s="649"/>
      <c r="S118" s="810"/>
      <c r="T118" s="810"/>
      <c r="U118" s="650"/>
      <c r="V118" s="810"/>
      <c r="W118" s="810"/>
      <c r="X118" s="810"/>
      <c r="Y118" s="810"/>
      <c r="Z118" s="810"/>
      <c r="AA118" s="651"/>
      <c r="AB118" s="651"/>
      <c r="AC118" s="651"/>
      <c r="AD118" s="651"/>
      <c r="AE118" s="651"/>
    </row>
    <row r="119" spans="1:31" s="1755" customFormat="1" ht="0.75" hidden="1" customHeight="1">
      <c r="A119" s="2329"/>
      <c r="D119" s="475"/>
      <c r="E119" s="708" t="str">
        <f>E118&amp;".0"</f>
        <v>.0</v>
      </c>
      <c r="F119" s="890"/>
      <c r="G119" s="1509"/>
      <c r="H119" s="885"/>
      <c r="I119" s="885"/>
      <c r="J119" s="889"/>
    </row>
    <row r="120" spans="1:31" s="1829" customFormat="1" ht="15" hidden="1" customHeight="1">
      <c r="A120" s="2329"/>
      <c r="B120" s="810"/>
      <c r="C120" s="649"/>
      <c r="D120" s="659"/>
      <c r="E120" s="867"/>
      <c r="F120" s="868" t="s">
        <v>1756</v>
      </c>
      <c r="G120" s="660"/>
      <c r="H120" s="661"/>
      <c r="I120" s="661"/>
      <c r="J120" s="895" t="s">
        <v>1757</v>
      </c>
      <c r="K120" s="648"/>
      <c r="L120" s="649"/>
      <c r="M120" s="649"/>
      <c r="N120" s="810"/>
      <c r="O120" s="810"/>
      <c r="P120" s="810"/>
      <c r="Q120" s="810"/>
      <c r="R120" s="649"/>
      <c r="S120" s="810"/>
      <c r="T120" s="810"/>
      <c r="U120" s="650"/>
      <c r="V120" s="810"/>
      <c r="W120" s="810"/>
      <c r="X120" s="810"/>
      <c r="Y120" s="810"/>
      <c r="Z120" s="810"/>
      <c r="AA120" s="651"/>
      <c r="AB120" s="651"/>
      <c r="AC120" s="651"/>
      <c r="AD120" s="651"/>
      <c r="AE120" s="651"/>
    </row>
    <row r="121" spans="1:31" ht="22.5" hidden="1" customHeight="1">
      <c r="A121" s="2329" t="s">
        <v>1758</v>
      </c>
      <c r="D121" s="1497"/>
      <c r="E121" s="473" t="str">
        <f>FHD_NUM_P_78</f>
        <v/>
      </c>
      <c r="F121" s="620" t="str">
        <f>FHD_P_78</f>
        <v/>
      </c>
      <c r="G121" s="1501" t="s">
        <v>1726</v>
      </c>
      <c r="H121" s="504"/>
      <c r="I121" s="504"/>
      <c r="J121" s="207" t="str">
        <f>FHD_NOTE_P_78</f>
        <v/>
      </c>
      <c r="K121" s="470"/>
    </row>
    <row r="122" spans="1:31" s="1755" customFormat="1" ht="0.75" hidden="1" customHeight="1">
      <c r="A122" s="2329"/>
      <c r="D122" s="475"/>
      <c r="E122" s="708" t="str">
        <f>E121&amp;".0"</f>
        <v>.0</v>
      </c>
      <c r="F122" s="890"/>
      <c r="G122" s="1509"/>
      <c r="H122" s="885"/>
      <c r="I122" s="885"/>
      <c r="J122" s="889"/>
    </row>
    <row r="123" spans="1:31" ht="15" hidden="1" customHeight="1">
      <c r="A123" s="2329"/>
      <c r="D123" s="1492"/>
      <c r="E123" s="497"/>
      <c r="F123" s="507" t="s">
        <v>1558</v>
      </c>
      <c r="G123" s="499"/>
      <c r="H123" s="500"/>
      <c r="I123" s="500"/>
      <c r="J123" s="896" t="s">
        <v>1759</v>
      </c>
      <c r="K123" s="470"/>
    </row>
    <row r="124" spans="1:31" ht="22.5" hidden="1" customHeight="1">
      <c r="A124" s="2329"/>
      <c r="D124" s="1497"/>
      <c r="E124" s="473" t="str">
        <f>FHD_NUM_P_79</f>
        <v/>
      </c>
      <c r="F124" s="620" t="str">
        <f>FHD_P_79</f>
        <v/>
      </c>
      <c r="G124" s="1504" t="s">
        <v>1728</v>
      </c>
      <c r="H124" s="504"/>
      <c r="I124" s="504"/>
      <c r="J124" s="207" t="str">
        <f>FHD_NOTE_P_79</f>
        <v/>
      </c>
      <c r="K124" s="470"/>
    </row>
    <row r="125" spans="1:31" s="1755" customFormat="1" ht="0.75" hidden="1" customHeight="1">
      <c r="A125" s="2329"/>
      <c r="D125" s="475"/>
      <c r="E125" s="708" t="str">
        <f>E124&amp;".0"</f>
        <v>.0</v>
      </c>
      <c r="F125" s="891"/>
      <c r="G125" s="1509"/>
      <c r="H125" s="885"/>
      <c r="I125" s="885"/>
      <c r="J125" s="889"/>
    </row>
    <row r="126" spans="1:31" ht="15" hidden="1" customHeight="1">
      <c r="A126" s="2329"/>
      <c r="D126" s="1492"/>
      <c r="E126" s="497"/>
      <c r="F126" s="507" t="s">
        <v>1558</v>
      </c>
      <c r="G126" s="499"/>
      <c r="H126" s="500"/>
      <c r="I126" s="500"/>
      <c r="J126" s="896" t="s">
        <v>1760</v>
      </c>
      <c r="K126" s="470"/>
    </row>
    <row r="127" spans="1:31" ht="22.5" hidden="1" customHeight="1">
      <c r="A127" s="2329"/>
      <c r="D127" s="1497"/>
      <c r="E127" s="473" t="str">
        <f>FHD_NUM_P_80</f>
        <v/>
      </c>
      <c r="F127" s="620" t="str">
        <f>FHD_P_80</f>
        <v/>
      </c>
      <c r="G127" s="1504" t="s">
        <v>1761</v>
      </c>
      <c r="H127" s="484"/>
      <c r="I127" s="484"/>
      <c r="J127" s="207" t="str">
        <f>FHD_NOTE_P_80</f>
        <v/>
      </c>
      <c r="K127" s="470"/>
    </row>
    <row r="128" spans="1:31" ht="18.75" hidden="1" customHeight="1">
      <c r="A128" s="2329"/>
      <c r="D128" s="1497"/>
      <c r="E128" s="473" t="str">
        <f>FHD_NUM_P_81</f>
        <v/>
      </c>
      <c r="F128" s="620" t="str">
        <f>FHD_P_81</f>
        <v/>
      </c>
      <c r="G128" s="1504" t="s">
        <v>1762</v>
      </c>
      <c r="H128" s="484"/>
      <c r="I128" s="484"/>
      <c r="J128" s="207" t="str">
        <f>FHD_NOTE_P_81</f>
        <v/>
      </c>
      <c r="K128" s="470"/>
    </row>
    <row r="129" spans="1:31" ht="18.75" hidden="1" customHeight="1">
      <c r="A129" s="2329"/>
      <c r="C129" s="1495" t="s">
        <v>1749</v>
      </c>
      <c r="D129" s="1497"/>
      <c r="E129" s="473" t="str">
        <f>FHD_NUM_P_82</f>
        <v/>
      </c>
      <c r="F129" s="620" t="str">
        <f>FHD_P_82</f>
        <v/>
      </c>
      <c r="G129" s="1504" t="s">
        <v>298</v>
      </c>
      <c r="H129" s="336"/>
      <c r="I129" s="336"/>
      <c r="J129" s="207" t="str">
        <f>FHD_NOTE_P_82</f>
        <v/>
      </c>
      <c r="K129" s="470"/>
    </row>
    <row r="130" spans="1:31" ht="18.75" hidden="1" customHeight="1">
      <c r="A130" s="2329"/>
      <c r="C130" s="1495" t="s">
        <v>1749</v>
      </c>
      <c r="D130" s="1497"/>
      <c r="E130" s="473" t="str">
        <f>FHD_NUM_P_83</f>
        <v/>
      </c>
      <c r="F130" s="848" t="str">
        <f>FHD_P_83</f>
        <v/>
      </c>
      <c r="G130" s="1504" t="s">
        <v>298</v>
      </c>
      <c r="H130" s="336"/>
      <c r="I130" s="336"/>
      <c r="J130" s="207" t="str">
        <f>FHD_NOTE_P_83</f>
        <v/>
      </c>
      <c r="K130" s="470"/>
    </row>
    <row r="131" spans="1:31" ht="18.75" hidden="1" customHeight="1">
      <c r="A131" s="2329"/>
      <c r="C131" s="1495" t="s">
        <v>1749</v>
      </c>
      <c r="D131" s="1497"/>
      <c r="E131" s="473" t="str">
        <f>FHD_NUM_P_84</f>
        <v/>
      </c>
      <c r="F131" s="848" t="str">
        <f>FHD_P_84</f>
        <v/>
      </c>
      <c r="G131" s="1504" t="s">
        <v>298</v>
      </c>
      <c r="H131" s="336"/>
      <c r="I131" s="336"/>
      <c r="J131" s="207" t="str">
        <f>FHD_NOTE_P_84</f>
        <v/>
      </c>
      <c r="K131" s="470"/>
    </row>
    <row r="132" spans="1:31" ht="11.25" customHeight="1">
      <c r="D132" s="1497"/>
    </row>
    <row r="133" spans="1:31" ht="12.75" customHeight="1">
      <c r="D133" s="1497"/>
      <c r="E133" s="261"/>
      <c r="F133" s="296"/>
      <c r="G133" s="296"/>
      <c r="H133" s="296"/>
      <c r="I133" s="1505"/>
      <c r="J133" s="508"/>
    </row>
    <row r="134" spans="1:31" s="1708" customFormat="1" ht="11.25" customHeight="1">
      <c r="A134" s="880"/>
      <c r="B134" s="1495"/>
      <c r="C134" s="1495"/>
      <c r="D134" s="275"/>
      <c r="F134" s="1499"/>
      <c r="G134" s="1490"/>
      <c r="H134" s="1490"/>
      <c r="I134" s="1490"/>
      <c r="K134" s="1034"/>
      <c r="L134" s="1495"/>
      <c r="M134" s="1495"/>
      <c r="N134" s="1034"/>
      <c r="O134" s="1034"/>
      <c r="P134" s="1034"/>
      <c r="Q134" s="1034"/>
      <c r="R134" s="1495"/>
      <c r="S134" s="1034"/>
      <c r="T134" s="1034"/>
      <c r="U134" s="471"/>
      <c r="V134" s="1034"/>
      <c r="W134" s="1034"/>
      <c r="X134" s="1034"/>
      <c r="Y134" s="1034"/>
      <c r="Z134" s="1034"/>
      <c r="AA134" s="1491"/>
      <c r="AB134" s="493"/>
      <c r="AC134" s="493"/>
      <c r="AD134" s="493"/>
      <c r="AE134" s="493"/>
    </row>
    <row r="135" spans="1:31" s="1708" customFormat="1" ht="11.25" customHeight="1">
      <c r="A135" s="880"/>
      <c r="B135" s="1495"/>
      <c r="C135" s="1495"/>
      <c r="D135" s="275"/>
      <c r="K135" s="1034"/>
      <c r="L135" s="1495"/>
      <c r="M135" s="1495"/>
      <c r="N135" s="1034"/>
      <c r="O135" s="1034"/>
      <c r="P135" s="1034"/>
      <c r="Q135" s="1034"/>
      <c r="R135" s="1495"/>
      <c r="S135" s="1034"/>
      <c r="T135" s="1034"/>
      <c r="U135" s="471"/>
      <c r="V135" s="1034"/>
      <c r="W135" s="1034"/>
      <c r="X135" s="1034"/>
      <c r="Y135" s="1034"/>
      <c r="Z135" s="1034"/>
      <c r="AA135" s="1491"/>
      <c r="AB135" s="493"/>
      <c r="AC135" s="493"/>
      <c r="AD135" s="493"/>
      <c r="AE135" s="493"/>
    </row>
    <row r="136" spans="1:31" s="1708" customFormat="1" ht="11.25" customHeight="1">
      <c r="A136" s="880"/>
      <c r="B136" s="1495"/>
      <c r="C136" s="1495"/>
      <c r="D136" s="275"/>
      <c r="K136" s="1034"/>
      <c r="L136" s="1495"/>
      <c r="M136" s="1495"/>
      <c r="N136" s="1034"/>
      <c r="O136" s="1034"/>
      <c r="P136" s="1034"/>
      <c r="Q136" s="1034"/>
      <c r="R136" s="1495"/>
      <c r="S136" s="1034"/>
      <c r="T136" s="1034"/>
      <c r="U136" s="471"/>
      <c r="V136" s="1034"/>
      <c r="W136" s="1034"/>
      <c r="X136" s="1034"/>
      <c r="Y136" s="1034"/>
      <c r="Z136" s="1034"/>
      <c r="AA136" s="1491"/>
      <c r="AB136" s="493"/>
      <c r="AC136" s="493"/>
      <c r="AD136" s="493"/>
      <c r="AE136" s="493"/>
    </row>
    <row r="137" spans="1:31" s="1708" customFormat="1" ht="11.25" customHeight="1">
      <c r="A137" s="880"/>
      <c r="B137" s="1495"/>
      <c r="C137" s="1495"/>
      <c r="D137" s="275"/>
      <c r="H137" s="493" t="str">
        <f>IF(H30-H31&lt;&gt;H73,"WARNING","")</f>
        <v/>
      </c>
      <c r="I137" s="493" t="str">
        <f>IF(I30-I31&lt;&gt;I73,"WARNING","")</f>
        <v>WARNING</v>
      </c>
      <c r="K137" s="1034"/>
      <c r="L137" s="1495"/>
      <c r="M137" s="1495"/>
      <c r="N137" s="1034"/>
      <c r="O137" s="1034"/>
      <c r="P137" s="1034"/>
      <c r="Q137" s="1034"/>
      <c r="R137" s="1495"/>
      <c r="S137" s="1034"/>
      <c r="T137" s="1034"/>
      <c r="U137" s="471"/>
      <c r="V137" s="1034"/>
      <c r="W137" s="1034"/>
      <c r="X137" s="1034"/>
      <c r="Y137" s="1034"/>
      <c r="Z137" s="1034"/>
      <c r="AA137" s="1491"/>
      <c r="AB137" s="493"/>
      <c r="AC137" s="493"/>
      <c r="AD137" s="493"/>
      <c r="AE137" s="493"/>
    </row>
    <row r="138" spans="1:31" s="1708" customFormat="1" ht="11.25" customHeight="1">
      <c r="A138" s="880"/>
      <c r="B138" s="1495"/>
      <c r="C138" s="1495"/>
      <c r="D138" s="275"/>
      <c r="K138" s="1034"/>
      <c r="L138" s="1495"/>
      <c r="M138" s="1495"/>
      <c r="N138" s="1034"/>
      <c r="O138" s="1034"/>
      <c r="P138" s="1034"/>
      <c r="Q138" s="1034"/>
      <c r="R138" s="1495"/>
      <c r="S138" s="1034"/>
      <c r="T138" s="1034"/>
      <c r="U138" s="471"/>
      <c r="V138" s="1034"/>
      <c r="W138" s="1034"/>
      <c r="X138" s="1034"/>
      <c r="Y138" s="1034"/>
      <c r="Z138" s="1034"/>
      <c r="AA138" s="1491"/>
      <c r="AB138" s="493"/>
      <c r="AC138" s="493"/>
      <c r="AD138" s="493"/>
      <c r="AE138" s="493"/>
    </row>
    <row r="139" spans="1:31" s="1708" customFormat="1" ht="11.25" customHeight="1">
      <c r="A139" s="880"/>
      <c r="B139" s="1495"/>
      <c r="C139" s="1495"/>
      <c r="D139" s="275"/>
      <c r="K139" s="1034"/>
      <c r="L139" s="1495"/>
      <c r="M139" s="1495"/>
      <c r="N139" s="1034"/>
      <c r="O139" s="1034"/>
      <c r="P139" s="1034"/>
      <c r="Q139" s="1034"/>
      <c r="R139" s="1495"/>
      <c r="S139" s="1034"/>
      <c r="T139" s="1034"/>
      <c r="U139" s="471"/>
      <c r="V139" s="1034"/>
      <c r="W139" s="1034"/>
      <c r="X139" s="1034"/>
      <c r="Y139" s="1034"/>
      <c r="Z139" s="1034"/>
      <c r="AA139" s="1491"/>
      <c r="AB139" s="493"/>
      <c r="AC139" s="493"/>
      <c r="AD139" s="493"/>
      <c r="AE139" s="493"/>
    </row>
    <row r="140" spans="1:31" s="1708" customFormat="1" ht="11.25" customHeight="1">
      <c r="A140" s="880"/>
      <c r="B140" s="1495"/>
      <c r="C140" s="1495"/>
      <c r="D140" s="275"/>
      <c r="K140" s="1034"/>
      <c r="L140" s="1495"/>
      <c r="M140" s="1495"/>
      <c r="N140" s="1034"/>
      <c r="O140" s="1034"/>
      <c r="P140" s="1034"/>
      <c r="Q140" s="1034"/>
      <c r="R140" s="1495"/>
      <c r="S140" s="1034"/>
      <c r="T140" s="1034"/>
      <c r="U140" s="471"/>
      <c r="V140" s="1034"/>
      <c r="W140" s="1034"/>
      <c r="X140" s="1034"/>
      <c r="Y140" s="1034"/>
      <c r="Z140" s="1034"/>
      <c r="AA140" s="1491"/>
      <c r="AB140" s="493"/>
      <c r="AC140" s="493"/>
      <c r="AD140" s="493"/>
      <c r="AE140" s="493"/>
    </row>
    <row r="141" spans="1:31" s="1708" customFormat="1" ht="11.25" customHeight="1">
      <c r="A141" s="880"/>
      <c r="B141" s="1495"/>
      <c r="C141" s="1495"/>
      <c r="D141" s="275"/>
      <c r="K141" s="1034"/>
      <c r="L141" s="1495"/>
      <c r="M141" s="1495"/>
      <c r="N141" s="1034"/>
      <c r="O141" s="1034"/>
      <c r="P141" s="1034"/>
      <c r="Q141" s="1034"/>
      <c r="R141" s="1495"/>
      <c r="S141" s="1034"/>
      <c r="T141" s="1034"/>
      <c r="U141" s="471"/>
      <c r="V141" s="1034"/>
      <c r="W141" s="1034"/>
      <c r="X141" s="1034"/>
      <c r="Y141" s="1034"/>
      <c r="Z141" s="1034"/>
      <c r="AA141" s="1491"/>
      <c r="AB141" s="493"/>
      <c r="AC141" s="493"/>
      <c r="AD141" s="493"/>
      <c r="AE141" s="493"/>
    </row>
    <row r="142" spans="1:31" s="1708" customFormat="1" ht="11.25" customHeight="1">
      <c r="A142" s="880"/>
      <c r="B142" s="1495"/>
      <c r="C142" s="1495"/>
      <c r="D142" s="275"/>
      <c r="K142" s="1034"/>
      <c r="L142" s="1495"/>
      <c r="M142" s="1495"/>
      <c r="N142" s="1034"/>
      <c r="O142" s="1034"/>
      <c r="P142" s="1034"/>
      <c r="Q142" s="1034"/>
      <c r="R142" s="1495"/>
      <c r="S142" s="1034"/>
      <c r="T142" s="1034"/>
      <c r="U142" s="471"/>
      <c r="V142" s="1034"/>
      <c r="W142" s="1034"/>
      <c r="X142" s="1034"/>
      <c r="Y142" s="1034"/>
      <c r="Z142" s="1034"/>
      <c r="AA142" s="1491"/>
      <c r="AB142" s="493"/>
      <c r="AC142" s="493"/>
      <c r="AD142" s="493"/>
      <c r="AE142" s="493"/>
    </row>
    <row r="143" spans="1:31" s="1708" customFormat="1" ht="11.25" customHeight="1">
      <c r="A143" s="880"/>
      <c r="B143" s="1495"/>
      <c r="C143" s="1495"/>
      <c r="D143" s="275"/>
      <c r="K143" s="1034"/>
      <c r="L143" s="1495"/>
      <c r="M143" s="1495"/>
      <c r="N143" s="1034"/>
      <c r="O143" s="1034"/>
      <c r="P143" s="1034"/>
      <c r="Q143" s="1034"/>
      <c r="R143" s="1495"/>
      <c r="S143" s="1034"/>
      <c r="T143" s="1034"/>
      <c r="U143" s="471"/>
      <c r="V143" s="1034"/>
      <c r="W143" s="1034"/>
      <c r="X143" s="1034"/>
      <c r="Y143" s="1034"/>
      <c r="Z143" s="1034"/>
      <c r="AA143" s="1491"/>
      <c r="AB143" s="493"/>
      <c r="AC143" s="493"/>
      <c r="AD143" s="493"/>
      <c r="AE143" s="493"/>
    </row>
    <row r="144" spans="1:31" s="1708" customFormat="1" ht="11.25" customHeight="1">
      <c r="A144" s="880"/>
      <c r="B144" s="1495"/>
      <c r="C144" s="1495"/>
      <c r="D144" s="275"/>
      <c r="K144" s="1034"/>
      <c r="L144" s="1495"/>
      <c r="M144" s="1495"/>
      <c r="N144" s="1034"/>
      <c r="O144" s="1034"/>
      <c r="P144" s="1034"/>
      <c r="Q144" s="1034"/>
      <c r="R144" s="1495"/>
      <c r="S144" s="1034"/>
      <c r="T144" s="1034"/>
      <c r="U144" s="471"/>
      <c r="V144" s="1034"/>
      <c r="W144" s="1034"/>
      <c r="X144" s="1034"/>
      <c r="Y144" s="1034"/>
      <c r="Z144" s="1034"/>
      <c r="AA144" s="1491"/>
      <c r="AB144" s="493"/>
      <c r="AC144" s="493"/>
      <c r="AD144" s="493"/>
      <c r="AE144" s="493"/>
    </row>
    <row r="145" spans="1:31" s="1708" customFormat="1" ht="11.25" customHeight="1">
      <c r="A145" s="880"/>
      <c r="B145" s="1495"/>
      <c r="C145" s="1495"/>
      <c r="D145" s="275"/>
      <c r="K145" s="1034"/>
      <c r="L145" s="1495"/>
      <c r="M145" s="1495"/>
      <c r="N145" s="1034"/>
      <c r="O145" s="1034"/>
      <c r="P145" s="1034"/>
      <c r="Q145" s="1034"/>
      <c r="R145" s="1495"/>
      <c r="S145" s="1034"/>
      <c r="T145" s="1034"/>
      <c r="U145" s="471"/>
      <c r="V145" s="1034"/>
      <c r="W145" s="1034"/>
      <c r="X145" s="1034"/>
      <c r="Y145" s="1034"/>
      <c r="Z145" s="1034"/>
      <c r="AA145" s="1491"/>
      <c r="AB145" s="493"/>
      <c r="AC145" s="493"/>
      <c r="AD145" s="493"/>
      <c r="AE145" s="493"/>
    </row>
    <row r="146" spans="1:31" s="1708" customFormat="1" ht="11.25" customHeight="1">
      <c r="A146" s="880"/>
      <c r="B146" s="1495"/>
      <c r="C146" s="1495"/>
      <c r="D146" s="275"/>
      <c r="K146" s="1034"/>
      <c r="L146" s="1495"/>
      <c r="M146" s="1495"/>
      <c r="N146" s="1034"/>
      <c r="O146" s="1034"/>
      <c r="P146" s="1034"/>
      <c r="Q146" s="1034"/>
      <c r="R146" s="1495"/>
      <c r="S146" s="1034"/>
      <c r="T146" s="1034"/>
      <c r="U146" s="471"/>
      <c r="V146" s="1034"/>
      <c r="W146" s="1034"/>
      <c r="X146" s="1034"/>
      <c r="Y146" s="1034"/>
      <c r="Z146" s="1034"/>
      <c r="AA146" s="1491"/>
      <c r="AB146" s="493"/>
      <c r="AC146" s="493"/>
      <c r="AD146" s="493"/>
      <c r="AE146" s="493"/>
    </row>
    <row r="147" spans="1:31" s="1708" customFormat="1" ht="11.25" customHeight="1">
      <c r="A147" s="880"/>
      <c r="B147" s="1495"/>
      <c r="C147" s="1495"/>
      <c r="D147" s="275"/>
      <c r="K147" s="1034"/>
      <c r="L147" s="1495"/>
      <c r="M147" s="1495"/>
      <c r="N147" s="1034"/>
      <c r="O147" s="1034"/>
      <c r="P147" s="1034"/>
      <c r="Q147" s="1034"/>
      <c r="R147" s="1495"/>
      <c r="S147" s="1034"/>
      <c r="T147" s="1034"/>
      <c r="U147" s="471"/>
      <c r="V147" s="1034"/>
      <c r="W147" s="1034"/>
      <c r="X147" s="1034"/>
      <c r="Y147" s="1034"/>
      <c r="Z147" s="1034"/>
      <c r="AA147" s="1491"/>
      <c r="AB147" s="493"/>
      <c r="AC147" s="493"/>
      <c r="AD147" s="493"/>
      <c r="AE147" s="493"/>
    </row>
    <row r="148" spans="1:31" s="1708" customFormat="1" ht="11.25" customHeight="1">
      <c r="A148" s="880"/>
      <c r="B148" s="1495"/>
      <c r="C148" s="1495"/>
      <c r="D148" s="275"/>
      <c r="K148" s="1034"/>
      <c r="L148" s="1495"/>
      <c r="M148" s="1495"/>
      <c r="N148" s="1034"/>
      <c r="O148" s="1034"/>
      <c r="P148" s="1034"/>
      <c r="Q148" s="1034"/>
      <c r="R148" s="1495"/>
      <c r="S148" s="1034"/>
      <c r="T148" s="1034"/>
      <c r="U148" s="471"/>
      <c r="V148" s="1034"/>
      <c r="W148" s="1034"/>
      <c r="X148" s="1034"/>
      <c r="Y148" s="1034"/>
      <c r="Z148" s="1034"/>
      <c r="AA148" s="1491"/>
      <c r="AB148" s="493"/>
      <c r="AC148" s="493"/>
      <c r="AD148" s="493"/>
      <c r="AE148" s="493"/>
    </row>
    <row r="149" spans="1:31" s="1708" customFormat="1" ht="11.25" customHeight="1">
      <c r="A149" s="880"/>
      <c r="B149" s="1495"/>
      <c r="C149" s="1495"/>
      <c r="D149" s="275"/>
      <c r="K149" s="1034"/>
      <c r="L149" s="1495"/>
      <c r="M149" s="1495"/>
      <c r="N149" s="1034"/>
      <c r="O149" s="1034"/>
      <c r="P149" s="1034"/>
      <c r="Q149" s="1034"/>
      <c r="R149" s="1495"/>
      <c r="S149" s="1034"/>
      <c r="T149" s="1034"/>
      <c r="U149" s="471"/>
      <c r="V149" s="1034"/>
      <c r="W149" s="1034"/>
      <c r="X149" s="1034"/>
      <c r="Y149" s="1034"/>
      <c r="Z149" s="1034"/>
      <c r="AA149" s="1491"/>
      <c r="AB149" s="493"/>
      <c r="AC149" s="493"/>
      <c r="AD149" s="493"/>
      <c r="AE149" s="493"/>
    </row>
    <row r="150" spans="1:31" s="1708" customFormat="1" ht="11.25" customHeight="1">
      <c r="A150" s="880"/>
      <c r="B150" s="1495"/>
      <c r="C150" s="1495"/>
      <c r="D150" s="275"/>
      <c r="K150" s="1034"/>
      <c r="L150" s="1495"/>
      <c r="M150" s="1495"/>
      <c r="N150" s="1034"/>
      <c r="O150" s="1034"/>
      <c r="P150" s="1034"/>
      <c r="Q150" s="1034"/>
      <c r="R150" s="1495"/>
      <c r="S150" s="1034"/>
      <c r="T150" s="1034"/>
      <c r="U150" s="471"/>
      <c r="V150" s="1034"/>
      <c r="W150" s="1034"/>
      <c r="X150" s="1034"/>
      <c r="Y150" s="1034"/>
      <c r="Z150" s="1034"/>
      <c r="AA150" s="1491"/>
      <c r="AB150" s="493"/>
      <c r="AC150" s="493"/>
      <c r="AD150" s="493"/>
      <c r="AE150" s="493"/>
    </row>
    <row r="151" spans="1:31" s="1708" customFormat="1" ht="11.25" customHeight="1">
      <c r="A151" s="880"/>
      <c r="B151" s="1495"/>
      <c r="C151" s="1495"/>
      <c r="D151" s="275"/>
      <c r="K151" s="1034"/>
      <c r="L151" s="1495"/>
      <c r="M151" s="1495"/>
      <c r="N151" s="1034"/>
      <c r="O151" s="1034"/>
      <c r="P151" s="1034"/>
      <c r="Q151" s="1034"/>
      <c r="R151" s="1495"/>
      <c r="S151" s="1034"/>
      <c r="T151" s="1034"/>
      <c r="U151" s="471"/>
      <c r="V151" s="1034"/>
      <c r="W151" s="1034"/>
      <c r="X151" s="1034"/>
      <c r="Y151" s="1034"/>
      <c r="Z151" s="1034"/>
      <c r="AA151" s="1491"/>
      <c r="AB151" s="493"/>
      <c r="AC151" s="493"/>
      <c r="AD151" s="493"/>
      <c r="AE151" s="493"/>
    </row>
    <row r="152" spans="1:31" s="1708" customFormat="1" ht="11.25" customHeight="1">
      <c r="A152" s="880"/>
      <c r="B152" s="1495"/>
      <c r="C152" s="1495"/>
      <c r="D152" s="275"/>
      <c r="K152" s="1034"/>
      <c r="L152" s="1495"/>
      <c r="M152" s="1495"/>
      <c r="N152" s="1034"/>
      <c r="O152" s="1034"/>
      <c r="P152" s="1034"/>
      <c r="Q152" s="1034"/>
      <c r="R152" s="1495"/>
      <c r="S152" s="1034"/>
      <c r="T152" s="1034"/>
      <c r="U152" s="471"/>
      <c r="V152" s="1034"/>
      <c r="W152" s="1034"/>
      <c r="X152" s="1034"/>
      <c r="Y152" s="1034"/>
      <c r="Z152" s="1034"/>
      <c r="AA152" s="1491"/>
      <c r="AB152" s="493"/>
      <c r="AC152" s="493"/>
      <c r="AD152" s="493"/>
      <c r="AE152" s="493"/>
    </row>
    <row r="153" spans="1:31" s="1708" customFormat="1" ht="11.25" customHeight="1">
      <c r="A153" s="880"/>
      <c r="B153" s="1495"/>
      <c r="C153" s="1495"/>
      <c r="D153" s="275"/>
      <c r="K153" s="1034"/>
      <c r="L153" s="1495"/>
      <c r="M153" s="1495"/>
      <c r="N153" s="1034"/>
      <c r="O153" s="1034"/>
      <c r="P153" s="1034"/>
      <c r="Q153" s="1034"/>
      <c r="R153" s="1495"/>
      <c r="S153" s="1034"/>
      <c r="T153" s="1034"/>
      <c r="U153" s="471"/>
      <c r="V153" s="1034"/>
      <c r="W153" s="1034"/>
      <c r="X153" s="1034"/>
      <c r="Y153" s="1034"/>
      <c r="Z153" s="1034"/>
      <c r="AA153" s="1491"/>
      <c r="AB153" s="493"/>
      <c r="AC153" s="493"/>
      <c r="AD153" s="493"/>
      <c r="AE153" s="493"/>
    </row>
    <row r="154" spans="1:31" s="1708" customFormat="1" ht="11.25" customHeight="1">
      <c r="A154" s="880"/>
      <c r="B154" s="1495"/>
      <c r="C154" s="1495"/>
      <c r="D154" s="275"/>
      <c r="K154" s="1034"/>
      <c r="L154" s="1495"/>
      <c r="M154" s="1495"/>
      <c r="N154" s="1034"/>
      <c r="O154" s="1034"/>
      <c r="P154" s="1034"/>
      <c r="Q154" s="1034"/>
      <c r="R154" s="1495"/>
      <c r="S154" s="1034"/>
      <c r="T154" s="1034"/>
      <c r="U154" s="471"/>
      <c r="V154" s="1034"/>
      <c r="W154" s="1034"/>
      <c r="X154" s="1034"/>
      <c r="Y154" s="1034"/>
      <c r="Z154" s="1034"/>
      <c r="AA154" s="1491"/>
      <c r="AB154" s="493"/>
      <c r="AC154" s="493"/>
      <c r="AD154" s="493"/>
      <c r="AE154" s="493"/>
    </row>
    <row r="155" spans="1:31" s="1708" customFormat="1" ht="11.25" customHeight="1">
      <c r="A155" s="880"/>
      <c r="B155" s="1495"/>
      <c r="C155" s="1495"/>
      <c r="D155" s="275"/>
      <c r="K155" s="1034"/>
      <c r="L155" s="1495"/>
      <c r="M155" s="1495"/>
      <c r="N155" s="1034"/>
      <c r="O155" s="1034"/>
      <c r="P155" s="1034"/>
      <c r="Q155" s="1034"/>
      <c r="R155" s="1495"/>
      <c r="S155" s="1034"/>
      <c r="T155" s="1034"/>
      <c r="U155" s="471"/>
      <c r="V155" s="1034"/>
      <c r="W155" s="1034"/>
      <c r="X155" s="1034"/>
      <c r="Y155" s="1034"/>
      <c r="Z155" s="1034"/>
      <c r="AA155" s="1491"/>
      <c r="AB155" s="493"/>
      <c r="AC155" s="493"/>
      <c r="AD155" s="493"/>
      <c r="AE155" s="493"/>
    </row>
    <row r="156" spans="1:31" s="1708" customFormat="1" ht="11.25" customHeight="1">
      <c r="A156" s="880"/>
      <c r="B156" s="1495"/>
      <c r="C156" s="1495"/>
      <c r="D156" s="275"/>
      <c r="K156" s="1034"/>
      <c r="L156" s="1495"/>
      <c r="M156" s="1495"/>
      <c r="N156" s="1034"/>
      <c r="O156" s="1034"/>
      <c r="P156" s="1034"/>
      <c r="Q156" s="1034"/>
      <c r="R156" s="1495"/>
      <c r="S156" s="1034"/>
      <c r="T156" s="1034"/>
      <c r="U156" s="471"/>
      <c r="V156" s="1034"/>
      <c r="W156" s="1034"/>
      <c r="X156" s="1034"/>
      <c r="Y156" s="1034"/>
      <c r="Z156" s="1034"/>
      <c r="AA156" s="1491"/>
      <c r="AB156" s="493"/>
      <c r="AC156" s="493"/>
      <c r="AD156" s="493"/>
      <c r="AE156" s="493"/>
    </row>
    <row r="157" spans="1:31" s="1708" customFormat="1" ht="11.25" customHeight="1">
      <c r="A157" s="880"/>
      <c r="B157" s="1495"/>
      <c r="C157" s="1495"/>
      <c r="D157" s="275"/>
      <c r="K157" s="1034"/>
      <c r="L157" s="1495"/>
      <c r="M157" s="1495"/>
      <c r="N157" s="1034"/>
      <c r="O157" s="1034"/>
      <c r="P157" s="1034"/>
      <c r="Q157" s="1034"/>
      <c r="R157" s="1495"/>
      <c r="S157" s="1034"/>
      <c r="T157" s="1034"/>
      <c r="U157" s="471"/>
      <c r="V157" s="1034"/>
      <c r="W157" s="1034"/>
      <c r="X157" s="1034"/>
      <c r="Y157" s="1034"/>
      <c r="Z157" s="1034"/>
      <c r="AA157" s="1491"/>
      <c r="AB157" s="493"/>
      <c r="AC157" s="493"/>
      <c r="AD157" s="493"/>
      <c r="AE157" s="493"/>
    </row>
    <row r="158" spans="1:31" s="1708" customFormat="1" ht="11.25" customHeight="1">
      <c r="A158" s="880"/>
      <c r="B158" s="1495"/>
      <c r="C158" s="1495"/>
      <c r="D158" s="275"/>
      <c r="K158" s="1034"/>
      <c r="L158" s="1495"/>
      <c r="M158" s="1495"/>
      <c r="N158" s="1034"/>
      <c r="O158" s="1034"/>
      <c r="P158" s="1034"/>
      <c r="Q158" s="1034"/>
      <c r="R158" s="1495"/>
      <c r="S158" s="1034"/>
      <c r="T158" s="1034"/>
      <c r="U158" s="471"/>
      <c r="V158" s="1034"/>
      <c r="W158" s="1034"/>
      <c r="X158" s="1034"/>
      <c r="Y158" s="1034"/>
      <c r="Z158" s="1034"/>
      <c r="AA158" s="1491"/>
      <c r="AB158" s="493"/>
      <c r="AC158" s="493"/>
      <c r="AD158" s="493"/>
      <c r="AE158" s="493"/>
    </row>
    <row r="159" spans="1:31" s="1708" customFormat="1" ht="11.25" customHeight="1">
      <c r="A159" s="880"/>
      <c r="B159" s="1495"/>
      <c r="C159" s="1495"/>
      <c r="D159" s="275"/>
      <c r="K159" s="1034"/>
      <c r="L159" s="1495"/>
      <c r="M159" s="1495"/>
      <c r="N159" s="1034"/>
      <c r="O159" s="1034"/>
      <c r="P159" s="1034"/>
      <c r="Q159" s="1034"/>
      <c r="R159" s="1495"/>
      <c r="S159" s="1034"/>
      <c r="T159" s="1034"/>
      <c r="U159" s="471"/>
      <c r="V159" s="1034"/>
      <c r="W159" s="1034"/>
      <c r="X159" s="1034"/>
      <c r="Y159" s="1034"/>
      <c r="Z159" s="1034"/>
      <c r="AA159" s="1491"/>
      <c r="AB159" s="493"/>
      <c r="AC159" s="493"/>
      <c r="AD159" s="493"/>
      <c r="AE159" s="493"/>
    </row>
    <row r="160" spans="1:31" s="1708" customFormat="1" ht="11.25" customHeight="1">
      <c r="A160" s="880"/>
      <c r="B160" s="1495"/>
      <c r="C160" s="1495"/>
      <c r="D160" s="275"/>
      <c r="K160" s="1034"/>
      <c r="L160" s="1495"/>
      <c r="M160" s="1495"/>
      <c r="N160" s="1034"/>
      <c r="O160" s="1034"/>
      <c r="P160" s="1034"/>
      <c r="Q160" s="1034"/>
      <c r="R160" s="1495"/>
      <c r="S160" s="1034"/>
      <c r="T160" s="1034"/>
      <c r="U160" s="471"/>
      <c r="V160" s="1034"/>
      <c r="W160" s="1034"/>
      <c r="X160" s="1034"/>
      <c r="Y160" s="1034"/>
      <c r="Z160" s="1034"/>
      <c r="AA160" s="1491"/>
      <c r="AB160" s="493"/>
      <c r="AC160" s="493"/>
      <c r="AD160" s="493"/>
      <c r="AE160" s="493"/>
    </row>
    <row r="161" spans="1:31" s="1708" customFormat="1" ht="11.25" customHeight="1">
      <c r="A161" s="880"/>
      <c r="B161" s="1495"/>
      <c r="C161" s="1495"/>
      <c r="D161" s="275"/>
      <c r="K161" s="1034"/>
      <c r="L161" s="1495"/>
      <c r="M161" s="1495"/>
      <c r="N161" s="1034"/>
      <c r="O161" s="1034"/>
      <c r="P161" s="1034"/>
      <c r="Q161" s="1034"/>
      <c r="R161" s="1495"/>
      <c r="S161" s="1034"/>
      <c r="T161" s="1034"/>
      <c r="U161" s="471"/>
      <c r="V161" s="1034"/>
      <c r="W161" s="1034"/>
      <c r="X161" s="1034"/>
      <c r="Y161" s="1034"/>
      <c r="Z161" s="1034"/>
      <c r="AA161" s="1491"/>
      <c r="AB161" s="493"/>
      <c r="AC161" s="493"/>
      <c r="AD161" s="493"/>
      <c r="AE161" s="493"/>
    </row>
    <row r="162" spans="1:31" s="1708" customFormat="1" ht="11.25" customHeight="1">
      <c r="A162" s="880"/>
      <c r="B162" s="1495"/>
      <c r="C162" s="1495"/>
      <c r="D162" s="275"/>
      <c r="K162" s="1034"/>
      <c r="L162" s="1495"/>
      <c r="M162" s="1495"/>
      <c r="N162" s="1034"/>
      <c r="O162" s="1034"/>
      <c r="P162" s="1034"/>
      <c r="Q162" s="1034"/>
      <c r="R162" s="1495"/>
      <c r="S162" s="1034"/>
      <c r="T162" s="1034"/>
      <c r="U162" s="471"/>
      <c r="V162" s="1034"/>
      <c r="W162" s="1034"/>
      <c r="X162" s="1034"/>
      <c r="Y162" s="1034"/>
      <c r="Z162" s="1034"/>
      <c r="AA162" s="1491"/>
      <c r="AB162" s="493"/>
      <c r="AC162" s="493"/>
      <c r="AD162" s="493"/>
      <c r="AE162" s="493"/>
    </row>
    <row r="163" spans="1:31" s="1708" customFormat="1" ht="11.25" customHeight="1">
      <c r="A163" s="880"/>
      <c r="B163" s="1495"/>
      <c r="C163" s="1495"/>
      <c r="D163" s="275"/>
      <c r="K163" s="1034"/>
      <c r="L163" s="1495"/>
      <c r="M163" s="1495"/>
      <c r="N163" s="1034"/>
      <c r="O163" s="1034"/>
      <c r="P163" s="1034"/>
      <c r="Q163" s="1034"/>
      <c r="R163" s="1495"/>
      <c r="S163" s="1034"/>
      <c r="T163" s="1034"/>
      <c r="U163" s="471"/>
      <c r="V163" s="1034"/>
      <c r="W163" s="1034"/>
      <c r="X163" s="1034"/>
      <c r="Y163" s="1034"/>
      <c r="Z163" s="1034"/>
      <c r="AA163" s="1491"/>
      <c r="AB163" s="493"/>
      <c r="AC163" s="493"/>
      <c r="AD163" s="493"/>
      <c r="AE163" s="493"/>
    </row>
    <row r="164" spans="1:31" s="1708" customFormat="1" ht="11.25" customHeight="1">
      <c r="A164" s="880"/>
      <c r="B164" s="1495"/>
      <c r="C164" s="1495"/>
      <c r="D164" s="275"/>
      <c r="K164" s="1034"/>
      <c r="L164" s="1495"/>
      <c r="M164" s="1495"/>
      <c r="N164" s="1034"/>
      <c r="O164" s="1034"/>
      <c r="P164" s="1034"/>
      <c r="Q164" s="1034"/>
      <c r="R164" s="1495"/>
      <c r="S164" s="1034"/>
      <c r="T164" s="1034"/>
      <c r="U164" s="471"/>
      <c r="V164" s="1034"/>
      <c r="W164" s="1034"/>
      <c r="X164" s="1034"/>
      <c r="Y164" s="1034"/>
      <c r="Z164" s="1034"/>
      <c r="AA164" s="1491"/>
      <c r="AB164" s="493"/>
      <c r="AC164" s="493"/>
      <c r="AD164" s="493"/>
      <c r="AE164" s="493"/>
    </row>
    <row r="165" spans="1:31" s="1708" customFormat="1" ht="11.25" customHeight="1">
      <c r="A165" s="880"/>
      <c r="B165" s="1495"/>
      <c r="C165" s="1495"/>
      <c r="D165" s="275"/>
      <c r="K165" s="1034"/>
      <c r="L165" s="1495"/>
      <c r="M165" s="1495"/>
      <c r="N165" s="1034"/>
      <c r="O165" s="1034"/>
      <c r="P165" s="1034"/>
      <c r="Q165" s="1034"/>
      <c r="R165" s="1495"/>
      <c r="S165" s="1034"/>
      <c r="T165" s="1034"/>
      <c r="U165" s="471"/>
      <c r="V165" s="1034"/>
      <c r="W165" s="1034"/>
      <c r="X165" s="1034"/>
      <c r="Y165" s="1034"/>
      <c r="Z165" s="1034"/>
      <c r="AA165" s="1491"/>
      <c r="AB165" s="493"/>
      <c r="AC165" s="493"/>
      <c r="AD165" s="493"/>
      <c r="AE165" s="493"/>
    </row>
    <row r="166" spans="1:31" s="1708" customFormat="1" ht="11.25" customHeight="1">
      <c r="A166" s="880"/>
      <c r="B166" s="1495"/>
      <c r="C166" s="1495"/>
      <c r="D166" s="275"/>
      <c r="K166" s="1034"/>
      <c r="L166" s="1495"/>
      <c r="M166" s="1495"/>
      <c r="N166" s="1034"/>
      <c r="O166" s="1034"/>
      <c r="P166" s="1034"/>
      <c r="Q166" s="1034"/>
      <c r="R166" s="1495"/>
      <c r="S166" s="1034"/>
      <c r="T166" s="1034"/>
      <c r="U166" s="471"/>
      <c r="V166" s="1034"/>
      <c r="W166" s="1034"/>
      <c r="X166" s="1034"/>
      <c r="Y166" s="1034"/>
      <c r="Z166" s="1034"/>
      <c r="AA166" s="1491"/>
      <c r="AB166" s="493"/>
      <c r="AC166" s="493"/>
      <c r="AD166" s="493"/>
      <c r="AE166" s="493"/>
    </row>
    <row r="167" spans="1:31" s="1708" customFormat="1" ht="11.25" customHeight="1">
      <c r="A167" s="880"/>
      <c r="B167" s="1495"/>
      <c r="C167" s="1495"/>
      <c r="D167" s="275"/>
      <c r="K167" s="1034"/>
      <c r="L167" s="1495"/>
      <c r="M167" s="1495"/>
      <c r="N167" s="1034"/>
      <c r="O167" s="1034"/>
      <c r="P167" s="1034"/>
      <c r="Q167" s="1034"/>
      <c r="R167" s="1495"/>
      <c r="S167" s="1034"/>
      <c r="T167" s="1034"/>
      <c r="U167" s="471"/>
      <c r="V167" s="1034"/>
      <c r="W167" s="1034"/>
      <c r="X167" s="1034"/>
      <c r="Y167" s="1034"/>
      <c r="Z167" s="1034"/>
      <c r="AA167" s="1491"/>
      <c r="AB167" s="493"/>
      <c r="AC167" s="493"/>
      <c r="AD167" s="493"/>
      <c r="AE167" s="493"/>
    </row>
    <row r="168" spans="1:31" s="1708" customFormat="1" ht="11.25" customHeight="1">
      <c r="A168" s="880"/>
      <c r="B168" s="1495"/>
      <c r="C168" s="1495"/>
      <c r="D168" s="275"/>
      <c r="K168" s="1034"/>
      <c r="L168" s="1495"/>
      <c r="M168" s="1495"/>
      <c r="N168" s="1034"/>
      <c r="O168" s="1034"/>
      <c r="P168" s="1034"/>
      <c r="Q168" s="1034"/>
      <c r="R168" s="1495"/>
      <c r="S168" s="1034"/>
      <c r="T168" s="1034"/>
      <c r="U168" s="471"/>
      <c r="V168" s="1034"/>
      <c r="W168" s="1034"/>
      <c r="X168" s="1034"/>
      <c r="Y168" s="1034"/>
      <c r="Z168" s="1034"/>
      <c r="AA168" s="1491"/>
      <c r="AB168" s="493"/>
      <c r="AC168" s="493"/>
      <c r="AD168" s="493"/>
      <c r="AE168" s="493"/>
    </row>
    <row r="169" spans="1:31" s="1708" customFormat="1" ht="11.25" customHeight="1">
      <c r="A169" s="880"/>
      <c r="B169" s="1495"/>
      <c r="C169" s="1495"/>
      <c r="D169" s="275"/>
      <c r="K169" s="1034"/>
      <c r="L169" s="1495"/>
      <c r="M169" s="1495"/>
      <c r="N169" s="1034"/>
      <c r="O169" s="1034"/>
      <c r="P169" s="1034"/>
      <c r="Q169" s="1034"/>
      <c r="R169" s="1495"/>
      <c r="S169" s="1034"/>
      <c r="T169" s="1034"/>
      <c r="U169" s="471"/>
      <c r="V169" s="1034"/>
      <c r="W169" s="1034"/>
      <c r="X169" s="1034"/>
      <c r="Y169" s="1034"/>
      <c r="Z169" s="1034"/>
      <c r="AA169" s="1491"/>
      <c r="AB169" s="493"/>
      <c r="AC169" s="493"/>
      <c r="AD169" s="493"/>
      <c r="AE169" s="493"/>
    </row>
    <row r="170" spans="1:31" s="1708" customFormat="1" ht="11.25" customHeight="1">
      <c r="A170" s="880"/>
      <c r="B170" s="1495"/>
      <c r="C170" s="1495"/>
      <c r="D170" s="275"/>
      <c r="K170" s="1034"/>
      <c r="L170" s="1495"/>
      <c r="M170" s="1495"/>
      <c r="N170" s="1034"/>
      <c r="O170" s="1034"/>
      <c r="P170" s="1034"/>
      <c r="Q170" s="1034"/>
      <c r="R170" s="1495"/>
      <c r="S170" s="1034"/>
      <c r="T170" s="1034"/>
      <c r="U170" s="471"/>
      <c r="V170" s="1034"/>
      <c r="W170" s="1034"/>
      <c r="X170" s="1034"/>
      <c r="Y170" s="1034"/>
      <c r="Z170" s="1034"/>
      <c r="AA170" s="1491"/>
      <c r="AB170" s="493"/>
      <c r="AC170" s="493"/>
      <c r="AD170" s="493"/>
      <c r="AE170" s="493"/>
    </row>
    <row r="171" spans="1:31" s="1708" customFormat="1" ht="11.25" customHeight="1">
      <c r="A171" s="880"/>
      <c r="B171" s="1495"/>
      <c r="C171" s="1495"/>
      <c r="D171" s="275"/>
      <c r="K171" s="1034"/>
      <c r="L171" s="1495"/>
      <c r="M171" s="1495"/>
      <c r="N171" s="1034"/>
      <c r="O171" s="1034"/>
      <c r="P171" s="1034"/>
      <c r="Q171" s="1034"/>
      <c r="R171" s="1495"/>
      <c r="S171" s="1034"/>
      <c r="T171" s="1034"/>
      <c r="U171" s="471"/>
      <c r="V171" s="1034"/>
      <c r="W171" s="1034"/>
      <c r="X171" s="1034"/>
      <c r="Y171" s="1034"/>
      <c r="Z171" s="1034"/>
      <c r="AA171" s="1491"/>
      <c r="AB171" s="493"/>
      <c r="AC171" s="493"/>
      <c r="AD171" s="493"/>
      <c r="AE171" s="493"/>
    </row>
    <row r="172" spans="1:31" s="1708" customFormat="1" ht="11.25" customHeight="1">
      <c r="A172" s="880"/>
      <c r="B172" s="1495"/>
      <c r="C172" s="1495"/>
      <c r="D172" s="275"/>
      <c r="K172" s="1034"/>
      <c r="L172" s="1495"/>
      <c r="M172" s="1495"/>
      <c r="N172" s="1034"/>
      <c r="O172" s="1034"/>
      <c r="P172" s="1034"/>
      <c r="Q172" s="1034"/>
      <c r="R172" s="1495"/>
      <c r="S172" s="1034"/>
      <c r="T172" s="1034"/>
      <c r="U172" s="471"/>
      <c r="V172" s="1034"/>
      <c r="W172" s="1034"/>
      <c r="X172" s="1034"/>
      <c r="Y172" s="1034"/>
      <c r="Z172" s="1034"/>
      <c r="AA172" s="1491"/>
      <c r="AB172" s="493"/>
      <c r="AC172" s="493"/>
      <c r="AD172" s="493"/>
      <c r="AE172" s="493"/>
    </row>
    <row r="173" spans="1:31" s="1708" customFormat="1" ht="11.25" customHeight="1">
      <c r="A173" s="880"/>
      <c r="B173" s="1495"/>
      <c r="C173" s="1495"/>
      <c r="D173" s="275"/>
      <c r="K173" s="1034"/>
      <c r="L173" s="1495"/>
      <c r="M173" s="1495"/>
      <c r="N173" s="1034"/>
      <c r="O173" s="1034"/>
      <c r="P173" s="1034"/>
      <c r="Q173" s="1034"/>
      <c r="R173" s="1495"/>
      <c r="S173" s="1034"/>
      <c r="T173" s="1034"/>
      <c r="U173" s="471"/>
      <c r="V173" s="1034"/>
      <c r="W173" s="1034"/>
      <c r="X173" s="1034"/>
      <c r="Y173" s="1034"/>
      <c r="Z173" s="1034"/>
      <c r="AA173" s="1491"/>
      <c r="AB173" s="493"/>
      <c r="AC173" s="493"/>
      <c r="AD173" s="493"/>
      <c r="AE173" s="493"/>
    </row>
    <row r="174" spans="1:31" s="1708" customFormat="1" ht="11.25" customHeight="1">
      <c r="A174" s="880"/>
      <c r="B174" s="1495"/>
      <c r="C174" s="1495"/>
      <c r="D174" s="275"/>
      <c r="K174" s="1034"/>
      <c r="L174" s="1495"/>
      <c r="M174" s="1495"/>
      <c r="N174" s="1034"/>
      <c r="O174" s="1034"/>
      <c r="P174" s="1034"/>
      <c r="Q174" s="1034"/>
      <c r="R174" s="1495"/>
      <c r="S174" s="1034"/>
      <c r="T174" s="1034"/>
      <c r="U174" s="471"/>
      <c r="V174" s="1034"/>
      <c r="W174" s="1034"/>
      <c r="X174" s="1034"/>
      <c r="Y174" s="1034"/>
      <c r="Z174" s="1034"/>
      <c r="AA174" s="1491"/>
      <c r="AB174" s="493"/>
      <c r="AC174" s="493"/>
      <c r="AD174" s="493"/>
      <c r="AE174" s="493"/>
    </row>
    <row r="175" spans="1:31" s="1708" customFormat="1" ht="11.25" customHeight="1">
      <c r="A175" s="880"/>
      <c r="B175" s="1495"/>
      <c r="C175" s="1495"/>
      <c r="D175" s="275"/>
      <c r="K175" s="1034"/>
      <c r="L175" s="1495"/>
      <c r="M175" s="1495"/>
      <c r="N175" s="1034"/>
      <c r="O175" s="1034"/>
      <c r="P175" s="1034"/>
      <c r="Q175" s="1034"/>
      <c r="R175" s="1495"/>
      <c r="S175" s="1034"/>
      <c r="T175" s="1034"/>
      <c r="U175" s="471"/>
      <c r="V175" s="1034"/>
      <c r="W175" s="1034"/>
      <c r="X175" s="1034"/>
      <c r="Y175" s="1034"/>
      <c r="Z175" s="1034"/>
      <c r="AA175" s="1491"/>
      <c r="AB175" s="493"/>
      <c r="AC175" s="493"/>
      <c r="AD175" s="493"/>
      <c r="AE175" s="493"/>
    </row>
    <row r="176" spans="1:31" s="1708" customFormat="1" ht="11.25" customHeight="1">
      <c r="A176" s="880"/>
      <c r="B176" s="1495"/>
      <c r="C176" s="1495"/>
      <c r="D176" s="275"/>
      <c r="K176" s="1034"/>
      <c r="L176" s="1495"/>
      <c r="M176" s="1495"/>
      <c r="N176" s="1034"/>
      <c r="O176" s="1034"/>
      <c r="P176" s="1034"/>
      <c r="Q176" s="1034"/>
      <c r="R176" s="1495"/>
      <c r="S176" s="1034"/>
      <c r="T176" s="1034"/>
      <c r="U176" s="471"/>
      <c r="V176" s="1034"/>
      <c r="W176" s="1034"/>
      <c r="X176" s="1034"/>
      <c r="Y176" s="1034"/>
      <c r="Z176" s="1034"/>
      <c r="AA176" s="1491"/>
      <c r="AB176" s="493"/>
      <c r="AC176" s="493"/>
      <c r="AD176" s="493"/>
      <c r="AE176" s="493"/>
    </row>
    <row r="177" spans="1:31" s="1708" customFormat="1" ht="11.25" customHeight="1">
      <c r="A177" s="880"/>
      <c r="B177" s="1495"/>
      <c r="C177" s="1495"/>
      <c r="D177" s="275"/>
      <c r="K177" s="1034"/>
      <c r="L177" s="1495"/>
      <c r="M177" s="1495"/>
      <c r="N177" s="1034"/>
      <c r="O177" s="1034"/>
      <c r="P177" s="1034"/>
      <c r="Q177" s="1034"/>
      <c r="R177" s="1495"/>
      <c r="S177" s="1034"/>
      <c r="T177" s="1034"/>
      <c r="U177" s="471"/>
      <c r="V177" s="1034"/>
      <c r="W177" s="1034"/>
      <c r="X177" s="1034"/>
      <c r="Y177" s="1034"/>
      <c r="Z177" s="1034"/>
      <c r="AA177" s="1491"/>
      <c r="AB177" s="493"/>
      <c r="AC177" s="493"/>
      <c r="AD177" s="493"/>
      <c r="AE177" s="493"/>
    </row>
    <row r="178" spans="1:31" s="1708" customFormat="1" ht="11.25" customHeight="1">
      <c r="A178" s="880"/>
      <c r="B178" s="1495"/>
      <c r="C178" s="1495"/>
      <c r="D178" s="275"/>
      <c r="K178" s="1034"/>
      <c r="L178" s="1495"/>
      <c r="M178" s="1495"/>
      <c r="N178" s="1034"/>
      <c r="O178" s="1034"/>
      <c r="P178" s="1034"/>
      <c r="Q178" s="1034"/>
      <c r="R178" s="1495"/>
      <c r="S178" s="1034"/>
      <c r="T178" s="1034"/>
      <c r="U178" s="471"/>
      <c r="V178" s="1034"/>
      <c r="W178" s="1034"/>
      <c r="X178" s="1034"/>
      <c r="Y178" s="1034"/>
      <c r="Z178" s="1034"/>
      <c r="AA178" s="1491"/>
      <c r="AB178" s="493"/>
      <c r="AC178" s="493"/>
      <c r="AD178" s="493"/>
      <c r="AE178" s="493"/>
    </row>
    <row r="179" spans="1:31" s="1708" customFormat="1" ht="11.25" customHeight="1">
      <c r="A179" s="880"/>
      <c r="B179" s="1495"/>
      <c r="C179" s="1495"/>
      <c r="D179" s="275"/>
      <c r="K179" s="1034"/>
      <c r="L179" s="1495"/>
      <c r="M179" s="1495"/>
      <c r="N179" s="1034"/>
      <c r="O179" s="1034"/>
      <c r="P179" s="1034"/>
      <c r="Q179" s="1034"/>
      <c r="R179" s="1495"/>
      <c r="S179" s="1034"/>
      <c r="T179" s="1034"/>
      <c r="U179" s="471"/>
      <c r="V179" s="1034"/>
      <c r="W179" s="1034"/>
      <c r="X179" s="1034"/>
      <c r="Y179" s="1034"/>
      <c r="Z179" s="1034"/>
      <c r="AA179" s="1491"/>
      <c r="AB179" s="493"/>
      <c r="AC179" s="493"/>
      <c r="AD179" s="493"/>
      <c r="AE179" s="493"/>
    </row>
    <row r="180" spans="1:31" s="1708" customFormat="1" ht="11.25" customHeight="1">
      <c r="A180" s="880"/>
      <c r="B180" s="1495"/>
      <c r="C180" s="1495"/>
      <c r="D180" s="275"/>
      <c r="K180" s="1034"/>
      <c r="L180" s="1495"/>
      <c r="M180" s="1495"/>
      <c r="N180" s="1034"/>
      <c r="O180" s="1034"/>
      <c r="P180" s="1034"/>
      <c r="Q180" s="1034"/>
      <c r="R180" s="1495"/>
      <c r="S180" s="1034"/>
      <c r="T180" s="1034"/>
      <c r="U180" s="471"/>
      <c r="V180" s="1034"/>
      <c r="W180" s="1034"/>
      <c r="X180" s="1034"/>
      <c r="Y180" s="1034"/>
      <c r="Z180" s="1034"/>
      <c r="AA180" s="1491"/>
      <c r="AB180" s="493"/>
      <c r="AC180" s="493"/>
      <c r="AD180" s="493"/>
      <c r="AE180" s="493"/>
    </row>
    <row r="181" spans="1:31" s="1708" customFormat="1" ht="11.25" customHeight="1">
      <c r="A181" s="880"/>
      <c r="B181" s="1495"/>
      <c r="C181" s="1495"/>
      <c r="D181" s="275"/>
      <c r="K181" s="1034"/>
      <c r="L181" s="1495"/>
      <c r="M181" s="1495"/>
      <c r="N181" s="1034"/>
      <c r="O181" s="1034"/>
      <c r="P181" s="1034"/>
      <c r="Q181" s="1034"/>
      <c r="R181" s="1495"/>
      <c r="S181" s="1034"/>
      <c r="T181" s="1034"/>
      <c r="U181" s="471"/>
      <c r="V181" s="1034"/>
      <c r="W181" s="1034"/>
      <c r="X181" s="1034"/>
      <c r="Y181" s="1034"/>
      <c r="Z181" s="1034"/>
      <c r="AA181" s="1491"/>
      <c r="AB181" s="493"/>
      <c r="AC181" s="493"/>
      <c r="AD181" s="493"/>
      <c r="AE181" s="493"/>
    </row>
    <row r="182" spans="1:31" s="1708" customFormat="1" ht="11.25" customHeight="1">
      <c r="A182" s="880"/>
      <c r="B182" s="1495"/>
      <c r="C182" s="1495"/>
      <c r="D182" s="275"/>
      <c r="K182" s="1034"/>
      <c r="L182" s="1495"/>
      <c r="M182" s="1495"/>
      <c r="N182" s="1034"/>
      <c r="O182" s="1034"/>
      <c r="P182" s="1034"/>
      <c r="Q182" s="1034"/>
      <c r="R182" s="1495"/>
      <c r="S182" s="1034"/>
      <c r="T182" s="1034"/>
      <c r="U182" s="471"/>
      <c r="V182" s="1034"/>
      <c r="W182" s="1034"/>
      <c r="X182" s="1034"/>
      <c r="Y182" s="1034"/>
      <c r="Z182" s="1034"/>
      <c r="AA182" s="1491"/>
      <c r="AB182" s="493"/>
      <c r="AC182" s="493"/>
      <c r="AD182" s="493"/>
      <c r="AE182" s="493"/>
    </row>
    <row r="183" spans="1:31" s="1708" customFormat="1" ht="11.25" customHeight="1">
      <c r="A183" s="880"/>
      <c r="B183" s="1495"/>
      <c r="C183" s="1495"/>
      <c r="D183" s="275"/>
      <c r="K183" s="1034"/>
      <c r="L183" s="1495"/>
      <c r="M183" s="1495"/>
      <c r="N183" s="1034"/>
      <c r="O183" s="1034"/>
      <c r="P183" s="1034"/>
      <c r="Q183" s="1034"/>
      <c r="R183" s="1495"/>
      <c r="S183" s="1034"/>
      <c r="T183" s="1034"/>
      <c r="U183" s="471"/>
      <c r="V183" s="1034"/>
      <c r="W183" s="1034"/>
      <c r="X183" s="1034"/>
      <c r="Y183" s="1034"/>
      <c r="Z183" s="1034"/>
      <c r="AA183" s="1491"/>
      <c r="AB183" s="493"/>
      <c r="AC183" s="493"/>
      <c r="AD183" s="493"/>
      <c r="AE183" s="493"/>
    </row>
    <row r="184" spans="1:31" s="1708" customFormat="1" ht="11.25" customHeight="1">
      <c r="A184" s="880"/>
      <c r="B184" s="1495"/>
      <c r="C184" s="1495"/>
      <c r="D184" s="275"/>
      <c r="K184" s="1034"/>
      <c r="L184" s="1495"/>
      <c r="M184" s="1495"/>
      <c r="N184" s="1034"/>
      <c r="O184" s="1034"/>
      <c r="P184" s="1034"/>
      <c r="Q184" s="1034"/>
      <c r="R184" s="1495"/>
      <c r="S184" s="1034"/>
      <c r="T184" s="1034"/>
      <c r="U184" s="471"/>
      <c r="V184" s="1034"/>
      <c r="W184" s="1034"/>
      <c r="X184" s="1034"/>
      <c r="Y184" s="1034"/>
      <c r="Z184" s="1034"/>
      <c r="AA184" s="1491"/>
      <c r="AB184" s="493"/>
      <c r="AC184" s="493"/>
      <c r="AD184" s="493"/>
      <c r="AE184" s="493"/>
    </row>
    <row r="185" spans="1:31" s="1708" customFormat="1" ht="11.25" customHeight="1">
      <c r="A185" s="880"/>
      <c r="B185" s="1495"/>
      <c r="C185" s="1495"/>
      <c r="D185" s="275"/>
      <c r="K185" s="1034"/>
      <c r="L185" s="1495"/>
      <c r="M185" s="1495"/>
      <c r="N185" s="1034"/>
      <c r="O185" s="1034"/>
      <c r="P185" s="1034"/>
      <c r="Q185" s="1034"/>
      <c r="R185" s="1495"/>
      <c r="S185" s="1034"/>
      <c r="T185" s="1034"/>
      <c r="U185" s="471"/>
      <c r="V185" s="1034"/>
      <c r="W185" s="1034"/>
      <c r="X185" s="1034"/>
      <c r="Y185" s="1034"/>
      <c r="Z185" s="1034"/>
      <c r="AA185" s="1491"/>
      <c r="AB185" s="493"/>
      <c r="AC185" s="493"/>
      <c r="AD185" s="493"/>
      <c r="AE185" s="493"/>
    </row>
    <row r="186" spans="1:31" s="1708" customFormat="1" ht="11.25" customHeight="1">
      <c r="A186" s="880"/>
      <c r="B186" s="1495"/>
      <c r="C186" s="1495"/>
      <c r="D186" s="275"/>
      <c r="K186" s="1034"/>
      <c r="L186" s="1495"/>
      <c r="M186" s="1495"/>
      <c r="N186" s="1034"/>
      <c r="O186" s="1034"/>
      <c r="P186" s="1034"/>
      <c r="Q186" s="1034"/>
      <c r="R186" s="1495"/>
      <c r="S186" s="1034"/>
      <c r="T186" s="1034"/>
      <c r="U186" s="471"/>
      <c r="V186" s="1034"/>
      <c r="W186" s="1034"/>
      <c r="X186" s="1034"/>
      <c r="Y186" s="1034"/>
      <c r="Z186" s="1034"/>
      <c r="AA186" s="1491"/>
      <c r="AB186" s="493"/>
      <c r="AC186" s="493"/>
      <c r="AD186" s="493"/>
      <c r="AE186" s="493"/>
    </row>
    <row r="187" spans="1:31" s="1708" customFormat="1" ht="11.25" customHeight="1">
      <c r="A187" s="880"/>
      <c r="B187" s="1495"/>
      <c r="C187" s="1495"/>
      <c r="D187" s="275"/>
      <c r="K187" s="1034"/>
      <c r="L187" s="1495"/>
      <c r="M187" s="1495"/>
      <c r="N187" s="1034"/>
      <c r="O187" s="1034"/>
      <c r="P187" s="1034"/>
      <c r="Q187" s="1034"/>
      <c r="R187" s="1495"/>
      <c r="S187" s="1034"/>
      <c r="T187" s="1034"/>
      <c r="U187" s="471"/>
      <c r="V187" s="1034"/>
      <c r="W187" s="1034"/>
      <c r="X187" s="1034"/>
      <c r="Y187" s="1034"/>
      <c r="Z187" s="1034"/>
      <c r="AA187" s="1491"/>
      <c r="AB187" s="493"/>
      <c r="AC187" s="493"/>
      <c r="AD187" s="493"/>
      <c r="AE187" s="493"/>
    </row>
    <row r="188" spans="1:31" s="1708" customFormat="1" ht="11.25" customHeight="1">
      <c r="A188" s="880"/>
      <c r="B188" s="1495"/>
      <c r="C188" s="1495"/>
      <c r="D188" s="275"/>
      <c r="K188" s="1034"/>
      <c r="L188" s="1495"/>
      <c r="M188" s="1495"/>
      <c r="N188" s="1034"/>
      <c r="O188" s="1034"/>
      <c r="P188" s="1034"/>
      <c r="Q188" s="1034"/>
      <c r="R188" s="1495"/>
      <c r="S188" s="1034"/>
      <c r="T188" s="1034"/>
      <c r="U188" s="471"/>
      <c r="V188" s="1034"/>
      <c r="W188" s="1034"/>
      <c r="X188" s="1034"/>
      <c r="Y188" s="1034"/>
      <c r="Z188" s="1034"/>
      <c r="AA188" s="1491"/>
      <c r="AB188" s="493"/>
      <c r="AC188" s="493"/>
      <c r="AD188" s="493"/>
      <c r="AE188" s="493"/>
    </row>
    <row r="189" spans="1:31" s="1708" customFormat="1" ht="11.25" customHeight="1">
      <c r="A189" s="880"/>
      <c r="B189" s="1495"/>
      <c r="C189" s="1495"/>
      <c r="D189" s="275"/>
      <c r="K189" s="1034"/>
      <c r="L189" s="1495"/>
      <c r="M189" s="1495"/>
      <c r="N189" s="1034"/>
      <c r="O189" s="1034"/>
      <c r="P189" s="1034"/>
      <c r="Q189" s="1034"/>
      <c r="R189" s="1495"/>
      <c r="S189" s="1034"/>
      <c r="T189" s="1034"/>
      <c r="U189" s="471"/>
      <c r="V189" s="1034"/>
      <c r="W189" s="1034"/>
      <c r="X189" s="1034"/>
      <c r="Y189" s="1034"/>
      <c r="Z189" s="1034"/>
      <c r="AA189" s="1491"/>
      <c r="AB189" s="493"/>
      <c r="AC189" s="493"/>
      <c r="AD189" s="493"/>
      <c r="AE189" s="493"/>
    </row>
    <row r="190" spans="1:31" s="1708" customFormat="1" ht="11.25" customHeight="1">
      <c r="A190" s="880"/>
      <c r="B190" s="1495"/>
      <c r="C190" s="1495"/>
      <c r="D190" s="275"/>
      <c r="K190" s="1034"/>
      <c r="L190" s="1495"/>
      <c r="M190" s="1495"/>
      <c r="N190" s="1034"/>
      <c r="O190" s="1034"/>
      <c r="P190" s="1034"/>
      <c r="Q190" s="1034"/>
      <c r="R190" s="1495"/>
      <c r="S190" s="1034"/>
      <c r="T190" s="1034"/>
      <c r="U190" s="471"/>
      <c r="V190" s="1034"/>
      <c r="W190" s="1034"/>
      <c r="X190" s="1034"/>
      <c r="Y190" s="1034"/>
      <c r="Z190" s="1034"/>
      <c r="AA190" s="1491"/>
      <c r="AB190" s="493"/>
      <c r="AC190" s="493"/>
      <c r="AD190" s="493"/>
      <c r="AE190" s="493"/>
    </row>
    <row r="191" spans="1:31" s="1708" customFormat="1" ht="11.25" customHeight="1">
      <c r="A191" s="880"/>
      <c r="B191" s="1495"/>
      <c r="C191" s="1495"/>
      <c r="D191" s="275"/>
      <c r="K191" s="1034"/>
      <c r="L191" s="1495"/>
      <c r="M191" s="1495"/>
      <c r="N191" s="1034"/>
      <c r="O191" s="1034"/>
      <c r="P191" s="1034"/>
      <c r="Q191" s="1034"/>
      <c r="R191" s="1495"/>
      <c r="S191" s="1034"/>
      <c r="T191" s="1034"/>
      <c r="U191" s="471"/>
      <c r="V191" s="1034"/>
      <c r="W191" s="1034"/>
      <c r="X191" s="1034"/>
      <c r="Y191" s="1034"/>
      <c r="Z191" s="1034"/>
      <c r="AA191" s="1491"/>
      <c r="AB191" s="493"/>
      <c r="AC191" s="493"/>
      <c r="AD191" s="493"/>
      <c r="AE191" s="493"/>
    </row>
    <row r="192" spans="1:31" s="1708" customFormat="1" ht="11.25" customHeight="1">
      <c r="A192" s="880"/>
      <c r="B192" s="1495"/>
      <c r="C192" s="1495"/>
      <c r="D192" s="275"/>
      <c r="K192" s="1034"/>
      <c r="L192" s="1495"/>
      <c r="M192" s="1495"/>
      <c r="N192" s="1034"/>
      <c r="O192" s="1034"/>
      <c r="P192" s="1034"/>
      <c r="Q192" s="1034"/>
      <c r="R192" s="1495"/>
      <c r="S192" s="1034"/>
      <c r="T192" s="1034"/>
      <c r="U192" s="471"/>
      <c r="V192" s="1034"/>
      <c r="W192" s="1034"/>
      <c r="X192" s="1034"/>
      <c r="Y192" s="1034"/>
      <c r="Z192" s="1034"/>
      <c r="AA192" s="1491"/>
      <c r="AB192" s="493"/>
      <c r="AC192" s="493"/>
      <c r="AD192" s="493"/>
      <c r="AE192" s="493"/>
    </row>
    <row r="193" spans="1:31" s="1708" customFormat="1" ht="11.25" customHeight="1">
      <c r="A193" s="880"/>
      <c r="B193" s="1495"/>
      <c r="C193" s="1495"/>
      <c r="D193" s="275"/>
      <c r="K193" s="1034"/>
      <c r="L193" s="1495"/>
      <c r="M193" s="1495"/>
      <c r="N193" s="1034"/>
      <c r="O193" s="1034"/>
      <c r="P193" s="1034"/>
      <c r="Q193" s="1034"/>
      <c r="R193" s="1495"/>
      <c r="S193" s="1034"/>
      <c r="T193" s="1034"/>
      <c r="U193" s="471"/>
      <c r="V193" s="1034"/>
      <c r="W193" s="1034"/>
      <c r="X193" s="1034"/>
      <c r="Y193" s="1034"/>
      <c r="Z193" s="1034"/>
      <c r="AA193" s="1491"/>
      <c r="AB193" s="493"/>
      <c r="AC193" s="493"/>
      <c r="AD193" s="493"/>
      <c r="AE193" s="493"/>
    </row>
    <row r="194" spans="1:31" s="1708" customFormat="1" ht="11.25" customHeight="1">
      <c r="A194" s="880"/>
      <c r="B194" s="1495"/>
      <c r="C194" s="1495"/>
      <c r="D194" s="275"/>
      <c r="K194" s="1034"/>
      <c r="L194" s="1495"/>
      <c r="M194" s="1495"/>
      <c r="N194" s="1034"/>
      <c r="O194" s="1034"/>
      <c r="P194" s="1034"/>
      <c r="Q194" s="1034"/>
      <c r="R194" s="1495"/>
      <c r="S194" s="1034"/>
      <c r="T194" s="1034"/>
      <c r="U194" s="471"/>
      <c r="V194" s="1034"/>
      <c r="W194" s="1034"/>
      <c r="X194" s="1034"/>
      <c r="Y194" s="1034"/>
      <c r="Z194" s="1034"/>
      <c r="AA194" s="1491"/>
      <c r="AB194" s="493"/>
      <c r="AC194" s="493"/>
      <c r="AD194" s="493"/>
      <c r="AE194" s="493"/>
    </row>
    <row r="195" spans="1:31" s="1708" customFormat="1" ht="11.25" customHeight="1">
      <c r="A195" s="880"/>
      <c r="B195" s="1495"/>
      <c r="C195" s="1495"/>
      <c r="D195" s="275"/>
      <c r="K195" s="1034"/>
      <c r="L195" s="1495"/>
      <c r="M195" s="1495"/>
      <c r="N195" s="1034"/>
      <c r="O195" s="1034"/>
      <c r="P195" s="1034"/>
      <c r="Q195" s="1034"/>
      <c r="R195" s="1495"/>
      <c r="S195" s="1034"/>
      <c r="T195" s="1034"/>
      <c r="U195" s="471"/>
      <c r="V195" s="1034"/>
      <c r="W195" s="1034"/>
      <c r="X195" s="1034"/>
      <c r="Y195" s="1034"/>
      <c r="Z195" s="1034"/>
      <c r="AA195" s="1491"/>
      <c r="AB195" s="493"/>
      <c r="AC195" s="493"/>
      <c r="AD195" s="493"/>
      <c r="AE195" s="493"/>
    </row>
    <row r="196" spans="1:31" s="1708" customFormat="1" ht="11.25" customHeight="1">
      <c r="A196" s="880"/>
      <c r="B196" s="1495"/>
      <c r="C196" s="1495"/>
      <c r="D196" s="275"/>
      <c r="K196" s="1034"/>
      <c r="L196" s="1495"/>
      <c r="M196" s="1495"/>
      <c r="N196" s="1034"/>
      <c r="O196" s="1034"/>
      <c r="P196" s="1034"/>
      <c r="Q196" s="1034"/>
      <c r="R196" s="1495"/>
      <c r="S196" s="1034"/>
      <c r="T196" s="1034"/>
      <c r="U196" s="471"/>
      <c r="V196" s="1034"/>
      <c r="W196" s="1034"/>
      <c r="X196" s="1034"/>
      <c r="Y196" s="1034"/>
      <c r="Z196" s="1034"/>
      <c r="AA196" s="1491"/>
      <c r="AB196" s="493"/>
      <c r="AC196" s="493"/>
      <c r="AD196" s="493"/>
      <c r="AE196" s="493"/>
    </row>
    <row r="197" spans="1:31" s="1708" customFormat="1" ht="11.25" customHeight="1">
      <c r="A197" s="880"/>
      <c r="B197" s="1495"/>
      <c r="C197" s="1495"/>
      <c r="D197" s="275"/>
      <c r="K197" s="1034"/>
      <c r="L197" s="1495"/>
      <c r="M197" s="1495"/>
      <c r="N197" s="1034"/>
      <c r="O197" s="1034"/>
      <c r="P197" s="1034"/>
      <c r="Q197" s="1034"/>
      <c r="R197" s="1495"/>
      <c r="S197" s="1034"/>
      <c r="T197" s="1034"/>
      <c r="U197" s="471"/>
      <c r="V197" s="1034"/>
      <c r="W197" s="1034"/>
      <c r="X197" s="1034"/>
      <c r="Y197" s="1034"/>
      <c r="Z197" s="1034"/>
      <c r="AA197" s="1491"/>
      <c r="AB197" s="493"/>
      <c r="AC197" s="493"/>
      <c r="AD197" s="493"/>
      <c r="AE197" s="493"/>
    </row>
    <row r="198" spans="1:31" s="1708" customFormat="1" ht="11.25" customHeight="1">
      <c r="A198" s="880"/>
      <c r="B198" s="1495"/>
      <c r="C198" s="1495"/>
      <c r="D198" s="275"/>
      <c r="K198" s="1034"/>
      <c r="L198" s="1495"/>
      <c r="M198" s="1495"/>
      <c r="N198" s="1034"/>
      <c r="O198" s="1034"/>
      <c r="P198" s="1034"/>
      <c r="Q198" s="1034"/>
      <c r="R198" s="1495"/>
      <c r="S198" s="1034"/>
      <c r="T198" s="1034"/>
      <c r="U198" s="471"/>
      <c r="V198" s="1034"/>
      <c r="W198" s="1034"/>
      <c r="X198" s="1034"/>
      <c r="Y198" s="1034"/>
      <c r="Z198" s="1034"/>
      <c r="AA198" s="1491"/>
      <c r="AB198" s="493"/>
      <c r="AC198" s="493"/>
      <c r="AD198" s="493"/>
      <c r="AE198" s="493"/>
    </row>
    <row r="199" spans="1:31" s="1708" customFormat="1" ht="11.25" customHeight="1">
      <c r="A199" s="880"/>
      <c r="B199" s="1495"/>
      <c r="C199" s="1495"/>
      <c r="D199" s="275"/>
      <c r="K199" s="1034"/>
      <c r="L199" s="1495"/>
      <c r="M199" s="1495"/>
      <c r="N199" s="1034"/>
      <c r="O199" s="1034"/>
      <c r="P199" s="1034"/>
      <c r="Q199" s="1034"/>
      <c r="R199" s="1495"/>
      <c r="S199" s="1034"/>
      <c r="T199" s="1034"/>
      <c r="U199" s="471"/>
      <c r="V199" s="1034"/>
      <c r="W199" s="1034"/>
      <c r="X199" s="1034"/>
      <c r="Y199" s="1034"/>
      <c r="Z199" s="1034"/>
      <c r="AA199" s="1491"/>
      <c r="AB199" s="493"/>
      <c r="AC199" s="493"/>
      <c r="AD199" s="493"/>
      <c r="AE199" s="493"/>
    </row>
    <row r="200" spans="1:31" s="1708" customFormat="1" ht="11.25" customHeight="1">
      <c r="A200" s="880"/>
      <c r="B200" s="1495"/>
      <c r="C200" s="1495"/>
      <c r="D200" s="275"/>
      <c r="K200" s="1034"/>
      <c r="L200" s="1495"/>
      <c r="M200" s="1495"/>
      <c r="N200" s="1034"/>
      <c r="O200" s="1034"/>
      <c r="P200" s="1034"/>
      <c r="Q200" s="1034"/>
      <c r="R200" s="1495"/>
      <c r="S200" s="1034"/>
      <c r="T200" s="1034"/>
      <c r="U200" s="471"/>
      <c r="V200" s="1034"/>
      <c r="W200" s="1034"/>
      <c r="X200" s="1034"/>
      <c r="Y200" s="1034"/>
      <c r="Z200" s="1034"/>
      <c r="AA200" s="1491"/>
      <c r="AB200" s="493"/>
      <c r="AC200" s="493"/>
      <c r="AD200" s="493"/>
      <c r="AE200" s="493"/>
    </row>
    <row r="201" spans="1:31" s="1708" customFormat="1" ht="11.25" customHeight="1">
      <c r="A201" s="880"/>
      <c r="B201" s="1495"/>
      <c r="C201" s="1495"/>
      <c r="D201" s="275"/>
      <c r="K201" s="1034"/>
      <c r="L201" s="1495"/>
      <c r="M201" s="1495"/>
      <c r="N201" s="1034"/>
      <c r="O201" s="1034"/>
      <c r="P201" s="1034"/>
      <c r="Q201" s="1034"/>
      <c r="R201" s="1495"/>
      <c r="S201" s="1034"/>
      <c r="T201" s="1034"/>
      <c r="U201" s="471"/>
      <c r="V201" s="1034"/>
      <c r="W201" s="1034"/>
      <c r="X201" s="1034"/>
      <c r="Y201" s="1034"/>
      <c r="Z201" s="1034"/>
      <c r="AA201" s="1491"/>
      <c r="AB201" s="493"/>
      <c r="AC201" s="493"/>
      <c r="AD201" s="493"/>
      <c r="AE201" s="493"/>
    </row>
    <row r="202" spans="1:31" s="1708" customFormat="1" ht="11.25" customHeight="1">
      <c r="A202" s="880"/>
      <c r="B202" s="1495"/>
      <c r="C202" s="1495"/>
      <c r="D202" s="275"/>
      <c r="K202" s="1034"/>
      <c r="L202" s="1495"/>
      <c r="M202" s="1495"/>
      <c r="N202" s="1034"/>
      <c r="O202" s="1034"/>
      <c r="P202" s="1034"/>
      <c r="Q202" s="1034"/>
      <c r="R202" s="1495"/>
      <c r="S202" s="1034"/>
      <c r="T202" s="1034"/>
      <c r="U202" s="471"/>
      <c r="V202" s="1034"/>
      <c r="W202" s="1034"/>
      <c r="X202" s="1034"/>
      <c r="Y202" s="1034"/>
      <c r="Z202" s="1034"/>
      <c r="AA202" s="1491"/>
      <c r="AB202" s="493"/>
      <c r="AC202" s="493"/>
      <c r="AD202" s="493"/>
      <c r="AE202" s="493"/>
    </row>
    <row r="203" spans="1:31" s="1708" customFormat="1" ht="11.25" customHeight="1">
      <c r="A203" s="880"/>
      <c r="B203" s="1495"/>
      <c r="C203" s="1495"/>
      <c r="D203" s="275"/>
      <c r="K203" s="1034"/>
      <c r="L203" s="1495"/>
      <c r="M203" s="1495"/>
      <c r="N203" s="1034"/>
      <c r="O203" s="1034"/>
      <c r="P203" s="1034"/>
      <c r="Q203" s="1034"/>
      <c r="R203" s="1495"/>
      <c r="S203" s="1034"/>
      <c r="T203" s="1034"/>
      <c r="U203" s="471"/>
      <c r="V203" s="1034"/>
      <c r="W203" s="1034"/>
      <c r="X203" s="1034"/>
      <c r="Y203" s="1034"/>
      <c r="Z203" s="1034"/>
      <c r="AA203" s="1491"/>
      <c r="AB203" s="493"/>
      <c r="AC203" s="493"/>
      <c r="AD203" s="493"/>
      <c r="AE203" s="493"/>
    </row>
    <row r="204" spans="1:31" s="1708" customFormat="1" ht="11.25" customHeight="1">
      <c r="A204" s="880"/>
      <c r="B204" s="1495"/>
      <c r="C204" s="1495"/>
      <c r="D204" s="275"/>
      <c r="K204" s="1034"/>
      <c r="L204" s="1495"/>
      <c r="M204" s="1495"/>
      <c r="N204" s="1034"/>
      <c r="O204" s="1034"/>
      <c r="P204" s="1034"/>
      <c r="Q204" s="1034"/>
      <c r="R204" s="1495"/>
      <c r="S204" s="1034"/>
      <c r="T204" s="1034"/>
      <c r="U204" s="471"/>
      <c r="V204" s="1034"/>
      <c r="W204" s="1034"/>
      <c r="X204" s="1034"/>
      <c r="Y204" s="1034"/>
      <c r="Z204" s="1034"/>
      <c r="AA204" s="1491"/>
      <c r="AB204" s="493"/>
      <c r="AC204" s="493"/>
      <c r="AD204" s="493"/>
      <c r="AE204" s="493"/>
    </row>
    <row r="205" spans="1:31" s="1708" customFormat="1" ht="11.25" customHeight="1">
      <c r="A205" s="880"/>
      <c r="B205" s="1495"/>
      <c r="C205" s="1495"/>
      <c r="D205" s="275"/>
      <c r="K205" s="1034"/>
      <c r="L205" s="1495"/>
      <c r="M205" s="1495"/>
      <c r="N205" s="1034"/>
      <c r="O205" s="1034"/>
      <c r="P205" s="1034"/>
      <c r="Q205" s="1034"/>
      <c r="R205" s="1495"/>
      <c r="S205" s="1034"/>
      <c r="T205" s="1034"/>
      <c r="U205" s="471"/>
      <c r="V205" s="1034"/>
      <c r="W205" s="1034"/>
      <c r="X205" s="1034"/>
      <c r="Y205" s="1034"/>
      <c r="Z205" s="1034"/>
      <c r="AA205" s="1491"/>
      <c r="AB205" s="493"/>
      <c r="AC205" s="493"/>
      <c r="AD205" s="493"/>
      <c r="AE205" s="493"/>
    </row>
    <row r="206" spans="1:31" s="1708" customFormat="1" ht="11.25" customHeight="1">
      <c r="A206" s="880"/>
      <c r="B206" s="1495"/>
      <c r="C206" s="1495"/>
      <c r="D206" s="275"/>
      <c r="K206" s="1034"/>
      <c r="L206" s="1495"/>
      <c r="M206" s="1495"/>
      <c r="N206" s="1034"/>
      <c r="O206" s="1034"/>
      <c r="P206" s="1034"/>
      <c r="Q206" s="1034"/>
      <c r="R206" s="1495"/>
      <c r="S206" s="1034"/>
      <c r="T206" s="1034"/>
      <c r="U206" s="471"/>
      <c r="V206" s="1034"/>
      <c r="W206" s="1034"/>
      <c r="X206" s="1034"/>
      <c r="Y206" s="1034"/>
      <c r="Z206" s="1034"/>
      <c r="AA206" s="1491"/>
      <c r="AB206" s="493"/>
      <c r="AC206" s="493"/>
      <c r="AD206" s="493"/>
      <c r="AE206" s="493"/>
    </row>
    <row r="207" spans="1:31" s="1708" customFormat="1" ht="11.25" customHeight="1">
      <c r="A207" s="880"/>
      <c r="B207" s="1495"/>
      <c r="C207" s="1495"/>
      <c r="D207" s="275"/>
      <c r="K207" s="1034"/>
      <c r="L207" s="1495"/>
      <c r="M207" s="1495"/>
      <c r="N207" s="1034"/>
      <c r="O207" s="1034"/>
      <c r="P207" s="1034"/>
      <c r="Q207" s="1034"/>
      <c r="R207" s="1495"/>
      <c r="S207" s="1034"/>
      <c r="T207" s="1034"/>
      <c r="U207" s="471"/>
      <c r="V207" s="1034"/>
      <c r="W207" s="1034"/>
      <c r="X207" s="1034"/>
      <c r="Y207" s="1034"/>
      <c r="Z207" s="1034"/>
      <c r="AA207" s="1491"/>
      <c r="AB207" s="493"/>
      <c r="AC207" s="493"/>
      <c r="AD207" s="493"/>
      <c r="AE207" s="493"/>
    </row>
    <row r="208" spans="1:31" s="1708" customFormat="1" ht="11.25" customHeight="1">
      <c r="A208" s="880"/>
      <c r="B208" s="1495"/>
      <c r="C208" s="1495"/>
      <c r="D208" s="275"/>
      <c r="K208" s="1034"/>
      <c r="L208" s="1495"/>
      <c r="M208" s="1495"/>
      <c r="N208" s="1034"/>
      <c r="O208" s="1034"/>
      <c r="P208" s="1034"/>
      <c r="Q208" s="1034"/>
      <c r="R208" s="1495"/>
      <c r="S208" s="1034"/>
      <c r="T208" s="1034"/>
      <c r="U208" s="471"/>
      <c r="V208" s="1034"/>
      <c r="W208" s="1034"/>
      <c r="X208" s="1034"/>
      <c r="Y208" s="1034"/>
      <c r="Z208" s="1034"/>
      <c r="AA208" s="1491"/>
      <c r="AB208" s="493"/>
      <c r="AC208" s="493"/>
      <c r="AD208" s="493"/>
      <c r="AE208" s="493"/>
    </row>
    <row r="209" spans="1:31" s="1708" customFormat="1" ht="11.25" customHeight="1">
      <c r="A209" s="880"/>
      <c r="B209" s="1495"/>
      <c r="C209" s="1495"/>
      <c r="D209" s="275"/>
      <c r="K209" s="1034"/>
      <c r="L209" s="1495"/>
      <c r="M209" s="1495"/>
      <c r="N209" s="1034"/>
      <c r="O209" s="1034"/>
      <c r="P209" s="1034"/>
      <c r="Q209" s="1034"/>
      <c r="R209" s="1495"/>
      <c r="S209" s="1034"/>
      <c r="T209" s="1034"/>
      <c r="U209" s="471"/>
      <c r="V209" s="1034"/>
      <c r="W209" s="1034"/>
      <c r="X209" s="1034"/>
      <c r="Y209" s="1034"/>
      <c r="Z209" s="1034"/>
      <c r="AA209" s="1491"/>
      <c r="AB209" s="493"/>
      <c r="AC209" s="493"/>
      <c r="AD209" s="493"/>
      <c r="AE209" s="493"/>
    </row>
    <row r="210" spans="1:31" s="1708" customFormat="1" ht="11.25" customHeight="1">
      <c r="A210" s="880"/>
      <c r="B210" s="1495"/>
      <c r="C210" s="1495"/>
      <c r="D210" s="275"/>
      <c r="K210" s="1034"/>
      <c r="L210" s="1495"/>
      <c r="M210" s="1495"/>
      <c r="N210" s="1034"/>
      <c r="O210" s="1034"/>
      <c r="P210" s="1034"/>
      <c r="Q210" s="1034"/>
      <c r="R210" s="1495"/>
      <c r="S210" s="1034"/>
      <c r="T210" s="1034"/>
      <c r="U210" s="471"/>
      <c r="V210" s="1034"/>
      <c r="W210" s="1034"/>
      <c r="X210" s="1034"/>
      <c r="Y210" s="1034"/>
      <c r="Z210" s="1034"/>
      <c r="AA210" s="1491"/>
      <c r="AB210" s="493"/>
      <c r="AC210" s="493"/>
      <c r="AD210" s="493"/>
      <c r="AE210" s="493"/>
    </row>
    <row r="211" spans="1:31" s="1708" customFormat="1" ht="11.25" customHeight="1">
      <c r="A211" s="880"/>
      <c r="B211" s="1495"/>
      <c r="C211" s="1495"/>
      <c r="D211" s="275"/>
      <c r="K211" s="1034"/>
      <c r="L211" s="1495"/>
      <c r="M211" s="1495"/>
      <c r="N211" s="1034"/>
      <c r="O211" s="1034"/>
      <c r="P211" s="1034"/>
      <c r="Q211" s="1034"/>
      <c r="R211" s="1495"/>
      <c r="S211" s="1034"/>
      <c r="T211" s="1034"/>
      <c r="U211" s="471"/>
      <c r="V211" s="1034"/>
      <c r="W211" s="1034"/>
      <c r="X211" s="1034"/>
      <c r="Y211" s="1034"/>
      <c r="Z211" s="1034"/>
      <c r="AA211" s="1491"/>
      <c r="AB211" s="493"/>
      <c r="AC211" s="493"/>
      <c r="AD211" s="493"/>
      <c r="AE211" s="493"/>
    </row>
    <row r="212" spans="1:31" s="1708" customFormat="1" ht="11.25" customHeight="1">
      <c r="A212" s="880"/>
      <c r="B212" s="1495"/>
      <c r="C212" s="1495"/>
      <c r="D212" s="275"/>
      <c r="K212" s="1034"/>
      <c r="L212" s="1495"/>
      <c r="M212" s="1495"/>
      <c r="N212" s="1034"/>
      <c r="O212" s="1034"/>
      <c r="P212" s="1034"/>
      <c r="Q212" s="1034"/>
      <c r="R212" s="1495"/>
      <c r="S212" s="1034"/>
      <c r="T212" s="1034"/>
      <c r="U212" s="471"/>
      <c r="V212" s="1034"/>
      <c r="W212" s="1034"/>
      <c r="X212" s="1034"/>
      <c r="Y212" s="1034"/>
      <c r="Z212" s="1034"/>
      <c r="AA212" s="1491"/>
      <c r="AB212" s="493"/>
      <c r="AC212" s="493"/>
      <c r="AD212" s="493"/>
      <c r="AE212" s="493"/>
    </row>
    <row r="213" spans="1:31" s="1708" customFormat="1" ht="11.25" customHeight="1">
      <c r="A213" s="880"/>
      <c r="B213" s="1495"/>
      <c r="C213" s="1495"/>
      <c r="D213" s="275"/>
      <c r="K213" s="1034"/>
      <c r="L213" s="1495"/>
      <c r="M213" s="1495"/>
      <c r="N213" s="1034"/>
      <c r="O213" s="1034"/>
      <c r="P213" s="1034"/>
      <c r="Q213" s="1034"/>
      <c r="R213" s="1495"/>
      <c r="S213" s="1034"/>
      <c r="T213" s="1034"/>
      <c r="U213" s="471"/>
      <c r="V213" s="1034"/>
      <c r="W213" s="1034"/>
      <c r="X213" s="1034"/>
      <c r="Y213" s="1034"/>
      <c r="Z213" s="1034"/>
      <c r="AA213" s="1491"/>
      <c r="AB213" s="493"/>
      <c r="AC213" s="493"/>
      <c r="AD213" s="493"/>
      <c r="AE213" s="493"/>
    </row>
    <row r="214" spans="1:31" s="1708" customFormat="1" ht="11.25" customHeight="1">
      <c r="A214" s="880"/>
      <c r="B214" s="1495"/>
      <c r="C214" s="1495"/>
      <c r="D214" s="275"/>
      <c r="K214" s="1034"/>
      <c r="L214" s="1495"/>
      <c r="M214" s="1495"/>
      <c r="N214" s="1034"/>
      <c r="O214" s="1034"/>
      <c r="P214" s="1034"/>
      <c r="Q214" s="1034"/>
      <c r="R214" s="1495"/>
      <c r="S214" s="1034"/>
      <c r="T214" s="1034"/>
      <c r="U214" s="471"/>
      <c r="V214" s="1034"/>
      <c r="W214" s="1034"/>
      <c r="X214" s="1034"/>
      <c r="Y214" s="1034"/>
      <c r="Z214" s="1034"/>
      <c r="AA214" s="1491"/>
      <c r="AB214" s="493"/>
      <c r="AC214" s="493"/>
      <c r="AD214" s="493"/>
      <c r="AE214" s="493"/>
    </row>
    <row r="215" spans="1:31" s="1708" customFormat="1" ht="11.25" customHeight="1">
      <c r="A215" s="880"/>
      <c r="B215" s="1495"/>
      <c r="C215" s="1495"/>
      <c r="D215" s="275"/>
      <c r="K215" s="1034"/>
      <c r="L215" s="1495"/>
      <c r="M215" s="1495"/>
      <c r="N215" s="1034"/>
      <c r="O215" s="1034"/>
      <c r="P215" s="1034"/>
      <c r="Q215" s="1034"/>
      <c r="R215" s="1495"/>
      <c r="S215" s="1034"/>
      <c r="T215" s="1034"/>
      <c r="U215" s="471"/>
      <c r="V215" s="1034"/>
      <c r="W215" s="1034"/>
      <c r="X215" s="1034"/>
      <c r="Y215" s="1034"/>
      <c r="Z215" s="1034"/>
      <c r="AA215" s="1491"/>
      <c r="AB215" s="493"/>
      <c r="AC215" s="493"/>
      <c r="AD215" s="493"/>
      <c r="AE215" s="493"/>
    </row>
    <row r="216" spans="1:31" s="1708" customFormat="1" ht="11.25" customHeight="1">
      <c r="A216" s="880"/>
      <c r="B216" s="1495"/>
      <c r="C216" s="1495"/>
      <c r="D216" s="275"/>
      <c r="K216" s="1034"/>
      <c r="L216" s="1495"/>
      <c r="M216" s="1495"/>
      <c r="N216" s="1034"/>
      <c r="O216" s="1034"/>
      <c r="P216" s="1034"/>
      <c r="Q216" s="1034"/>
      <c r="R216" s="1495"/>
      <c r="S216" s="1034"/>
      <c r="T216" s="1034"/>
      <c r="U216" s="471"/>
      <c r="V216" s="1034"/>
      <c r="W216" s="1034"/>
      <c r="X216" s="1034"/>
      <c r="Y216" s="1034"/>
      <c r="Z216" s="1034"/>
      <c r="AA216" s="1491"/>
      <c r="AB216" s="493"/>
      <c r="AC216" s="493"/>
      <c r="AD216" s="493"/>
      <c r="AE216" s="493"/>
    </row>
    <row r="217" spans="1:31" s="1708" customFormat="1" ht="11.25" customHeight="1">
      <c r="A217" s="880"/>
      <c r="B217" s="1495"/>
      <c r="C217" s="1495"/>
      <c r="D217" s="275"/>
      <c r="K217" s="1034"/>
      <c r="L217" s="1495"/>
      <c r="M217" s="1495"/>
      <c r="N217" s="1034"/>
      <c r="O217" s="1034"/>
      <c r="P217" s="1034"/>
      <c r="Q217" s="1034"/>
      <c r="R217" s="1495"/>
      <c r="S217" s="1034"/>
      <c r="T217" s="1034"/>
      <c r="U217" s="471"/>
      <c r="V217" s="1034"/>
      <c r="W217" s="1034"/>
      <c r="X217" s="1034"/>
      <c r="Y217" s="1034"/>
      <c r="Z217" s="1034"/>
      <c r="AA217" s="1491"/>
      <c r="AB217" s="493"/>
      <c r="AC217" s="493"/>
      <c r="AD217" s="493"/>
      <c r="AE217" s="493"/>
    </row>
    <row r="218" spans="1:31" s="1708" customFormat="1" ht="11.25" customHeight="1">
      <c r="A218" s="880"/>
      <c r="B218" s="1495"/>
      <c r="C218" s="1495"/>
      <c r="D218" s="275"/>
      <c r="K218" s="1034"/>
      <c r="L218" s="1495"/>
      <c r="M218" s="1495"/>
      <c r="N218" s="1034"/>
      <c r="O218" s="1034"/>
      <c r="P218" s="1034"/>
      <c r="Q218" s="1034"/>
      <c r="R218" s="1495"/>
      <c r="S218" s="1034"/>
      <c r="T218" s="1034"/>
      <c r="U218" s="471"/>
      <c r="V218" s="1034"/>
      <c r="W218" s="1034"/>
      <c r="X218" s="1034"/>
      <c r="Y218" s="1034"/>
      <c r="Z218" s="1034"/>
      <c r="AA218" s="1491"/>
      <c r="AB218" s="493"/>
      <c r="AC218" s="493"/>
      <c r="AD218" s="493"/>
      <c r="AE218" s="493"/>
    </row>
    <row r="219" spans="1:31" s="1708" customFormat="1" ht="11.25" customHeight="1">
      <c r="A219" s="880"/>
      <c r="B219" s="1495"/>
      <c r="C219" s="1495"/>
      <c r="D219" s="275"/>
      <c r="K219" s="1034"/>
      <c r="L219" s="1495"/>
      <c r="M219" s="1495"/>
      <c r="N219" s="1034"/>
      <c r="O219" s="1034"/>
      <c r="P219" s="1034"/>
      <c r="Q219" s="1034"/>
      <c r="R219" s="1495"/>
      <c r="S219" s="1034"/>
      <c r="T219" s="1034"/>
      <c r="U219" s="471"/>
      <c r="V219" s="1034"/>
      <c r="W219" s="1034"/>
      <c r="X219" s="1034"/>
      <c r="Y219" s="1034"/>
      <c r="Z219" s="1034"/>
      <c r="AA219" s="1491"/>
      <c r="AB219" s="493"/>
      <c r="AC219" s="493"/>
      <c r="AD219" s="493"/>
      <c r="AE219" s="493"/>
    </row>
    <row r="220" spans="1:31" s="1708" customFormat="1" ht="11.25" customHeight="1">
      <c r="A220" s="880"/>
      <c r="B220" s="1495"/>
      <c r="C220" s="1495"/>
      <c r="D220" s="275"/>
      <c r="K220" s="1034"/>
      <c r="L220" s="1495"/>
      <c r="M220" s="1495"/>
      <c r="N220" s="1034"/>
      <c r="O220" s="1034"/>
      <c r="P220" s="1034"/>
      <c r="Q220" s="1034"/>
      <c r="R220" s="1495"/>
      <c r="S220" s="1034"/>
      <c r="T220" s="1034"/>
      <c r="U220" s="471"/>
      <c r="V220" s="1034"/>
      <c r="W220" s="1034"/>
      <c r="X220" s="1034"/>
      <c r="Y220" s="1034"/>
      <c r="Z220" s="1034"/>
      <c r="AA220" s="1491"/>
      <c r="AB220" s="493"/>
      <c r="AC220" s="493"/>
      <c r="AD220" s="493"/>
      <c r="AE220" s="493"/>
    </row>
    <row r="221" spans="1:31" s="1708" customFormat="1" ht="11.25" customHeight="1">
      <c r="A221" s="880"/>
      <c r="B221" s="1495"/>
      <c r="C221" s="1495"/>
      <c r="D221" s="275"/>
      <c r="K221" s="1034"/>
      <c r="L221" s="1495"/>
      <c r="M221" s="1495"/>
      <c r="N221" s="1034"/>
      <c r="O221" s="1034"/>
      <c r="P221" s="1034"/>
      <c r="Q221" s="1034"/>
      <c r="R221" s="1495"/>
      <c r="S221" s="1034"/>
      <c r="T221" s="1034"/>
      <c r="U221" s="471"/>
      <c r="V221" s="1034"/>
      <c r="W221" s="1034"/>
      <c r="X221" s="1034"/>
      <c r="Y221" s="1034"/>
      <c r="Z221" s="1034"/>
      <c r="AA221" s="1491"/>
      <c r="AB221" s="493"/>
      <c r="AC221" s="493"/>
      <c r="AD221" s="493"/>
      <c r="AE221" s="493"/>
    </row>
    <row r="222" spans="1:31" s="1708" customFormat="1" ht="11.25" customHeight="1">
      <c r="A222" s="880"/>
      <c r="B222" s="1495"/>
      <c r="C222" s="1495"/>
      <c r="D222" s="275"/>
      <c r="K222" s="1034"/>
      <c r="L222" s="1495"/>
      <c r="M222" s="1495"/>
      <c r="N222" s="1034"/>
      <c r="O222" s="1034"/>
      <c r="P222" s="1034"/>
      <c r="Q222" s="1034"/>
      <c r="R222" s="1495"/>
      <c r="S222" s="1034"/>
      <c r="T222" s="1034"/>
      <c r="U222" s="471"/>
      <c r="V222" s="1034"/>
      <c r="W222" s="1034"/>
      <c r="X222" s="1034"/>
      <c r="Y222" s="1034"/>
      <c r="Z222" s="1034"/>
      <c r="AA222" s="1491"/>
      <c r="AB222" s="493"/>
      <c r="AC222" s="493"/>
      <c r="AD222" s="493"/>
      <c r="AE222" s="493"/>
    </row>
    <row r="223" spans="1:31" s="1708" customFormat="1" ht="11.25" customHeight="1">
      <c r="A223" s="880"/>
      <c r="B223" s="1495"/>
      <c r="C223" s="1495"/>
      <c r="D223" s="275"/>
      <c r="K223" s="1034"/>
      <c r="L223" s="1495"/>
      <c r="M223" s="1495"/>
      <c r="N223" s="1034"/>
      <c r="O223" s="1034"/>
      <c r="P223" s="1034"/>
      <c r="Q223" s="1034"/>
      <c r="R223" s="1495"/>
      <c r="S223" s="1034"/>
      <c r="T223" s="1034"/>
      <c r="U223" s="471"/>
      <c r="V223" s="1034"/>
      <c r="W223" s="1034"/>
      <c r="X223" s="1034"/>
      <c r="Y223" s="1034"/>
      <c r="Z223" s="1034"/>
      <c r="AA223" s="1491"/>
      <c r="AB223" s="493"/>
      <c r="AC223" s="493"/>
      <c r="AD223" s="493"/>
      <c r="AE223" s="493"/>
    </row>
    <row r="224" spans="1:31" s="1708" customFormat="1" ht="11.25" customHeight="1">
      <c r="A224" s="880"/>
      <c r="B224" s="1495"/>
      <c r="C224" s="1495"/>
      <c r="D224" s="275"/>
      <c r="K224" s="1034"/>
      <c r="L224" s="1495"/>
      <c r="M224" s="1495"/>
      <c r="N224" s="1034"/>
      <c r="O224" s="1034"/>
      <c r="P224" s="1034"/>
      <c r="Q224" s="1034"/>
      <c r="R224" s="1495"/>
      <c r="S224" s="1034"/>
      <c r="T224" s="1034"/>
      <c r="U224" s="471"/>
      <c r="V224" s="1034"/>
      <c r="W224" s="1034"/>
      <c r="X224" s="1034"/>
      <c r="Y224" s="1034"/>
      <c r="Z224" s="1034"/>
      <c r="AA224" s="1491"/>
      <c r="AB224" s="493"/>
      <c r="AC224" s="493"/>
      <c r="AD224" s="493"/>
      <c r="AE224" s="493"/>
    </row>
    <row r="225" spans="1:31" s="1708" customFormat="1" ht="11.25" customHeight="1">
      <c r="A225" s="880"/>
      <c r="B225" s="1495"/>
      <c r="C225" s="1495"/>
      <c r="D225" s="275"/>
      <c r="K225" s="1034"/>
      <c r="L225" s="1495"/>
      <c r="M225" s="1495"/>
      <c r="N225" s="1034"/>
      <c r="O225" s="1034"/>
      <c r="P225" s="1034"/>
      <c r="Q225" s="1034"/>
      <c r="R225" s="1495"/>
      <c r="S225" s="1034"/>
      <c r="T225" s="1034"/>
      <c r="U225" s="471"/>
      <c r="V225" s="1034"/>
      <c r="W225" s="1034"/>
      <c r="X225" s="1034"/>
      <c r="Y225" s="1034"/>
      <c r="Z225" s="1034"/>
      <c r="AA225" s="1491"/>
      <c r="AB225" s="493"/>
      <c r="AC225" s="493"/>
      <c r="AD225" s="493"/>
      <c r="AE225" s="493"/>
    </row>
    <row r="226" spans="1:31" s="1708" customFormat="1" ht="11.25" customHeight="1">
      <c r="A226" s="880"/>
      <c r="B226" s="1495"/>
      <c r="C226" s="1495"/>
      <c r="D226" s="275"/>
      <c r="K226" s="1034"/>
      <c r="L226" s="1495"/>
      <c r="M226" s="1495"/>
      <c r="N226" s="1034"/>
      <c r="O226" s="1034"/>
      <c r="P226" s="1034"/>
      <c r="Q226" s="1034"/>
      <c r="R226" s="1495"/>
      <c r="S226" s="1034"/>
      <c r="T226" s="1034"/>
      <c r="U226" s="471"/>
      <c r="V226" s="1034"/>
      <c r="W226" s="1034"/>
      <c r="X226" s="1034"/>
      <c r="Y226" s="1034"/>
      <c r="Z226" s="1034"/>
      <c r="AA226" s="1491"/>
      <c r="AB226" s="493"/>
      <c r="AC226" s="493"/>
      <c r="AD226" s="493"/>
      <c r="AE226" s="493"/>
    </row>
    <row r="227" spans="1:31" s="1708" customFormat="1" ht="11.25" customHeight="1">
      <c r="A227" s="880"/>
      <c r="B227" s="1495"/>
      <c r="C227" s="1495"/>
      <c r="D227" s="275"/>
      <c r="K227" s="1034"/>
      <c r="L227" s="1495"/>
      <c r="M227" s="1495"/>
      <c r="N227" s="1034"/>
      <c r="O227" s="1034"/>
      <c r="P227" s="1034"/>
      <c r="Q227" s="1034"/>
      <c r="R227" s="1495"/>
      <c r="S227" s="1034"/>
      <c r="T227" s="1034"/>
      <c r="U227" s="471"/>
      <c r="V227" s="1034"/>
      <c r="W227" s="1034"/>
      <c r="X227" s="1034"/>
      <c r="Y227" s="1034"/>
      <c r="Z227" s="1034"/>
      <c r="AA227" s="1491"/>
      <c r="AB227" s="493"/>
      <c r="AC227" s="493"/>
      <c r="AD227" s="493"/>
      <c r="AE227" s="493"/>
    </row>
    <row r="228" spans="1:31" s="1708" customFormat="1" ht="11.25" customHeight="1">
      <c r="A228" s="880"/>
      <c r="B228" s="1495"/>
      <c r="C228" s="1495"/>
      <c r="D228" s="275"/>
      <c r="K228" s="1034"/>
      <c r="L228" s="1495"/>
      <c r="M228" s="1495"/>
      <c r="N228" s="1034"/>
      <c r="O228" s="1034"/>
      <c r="P228" s="1034"/>
      <c r="Q228" s="1034"/>
      <c r="R228" s="1495"/>
      <c r="S228" s="1034"/>
      <c r="T228" s="1034"/>
      <c r="U228" s="471"/>
      <c r="V228" s="1034"/>
      <c r="W228" s="1034"/>
      <c r="X228" s="1034"/>
      <c r="Y228" s="1034"/>
      <c r="Z228" s="1034"/>
      <c r="AA228" s="1491"/>
      <c r="AB228" s="493"/>
      <c r="AC228" s="493"/>
      <c r="AD228" s="493"/>
      <c r="AE228" s="493"/>
    </row>
    <row r="229" spans="1:31" s="1708" customFormat="1" ht="11.25" customHeight="1">
      <c r="A229" s="880"/>
      <c r="B229" s="1495"/>
      <c r="C229" s="1495"/>
      <c r="D229" s="275"/>
      <c r="K229" s="1034"/>
      <c r="L229" s="1495"/>
      <c r="M229" s="1495"/>
      <c r="N229" s="1034"/>
      <c r="O229" s="1034"/>
      <c r="P229" s="1034"/>
      <c r="Q229" s="1034"/>
      <c r="R229" s="1495"/>
      <c r="S229" s="1034"/>
      <c r="T229" s="1034"/>
      <c r="U229" s="471"/>
      <c r="V229" s="1034"/>
      <c r="W229" s="1034"/>
      <c r="X229" s="1034"/>
      <c r="Y229" s="1034"/>
      <c r="Z229" s="1034"/>
      <c r="AA229" s="1491"/>
      <c r="AB229" s="493"/>
      <c r="AC229" s="493"/>
      <c r="AD229" s="493"/>
      <c r="AE229" s="493"/>
    </row>
    <row r="230" spans="1:31" s="1708" customFormat="1" ht="11.25" customHeight="1">
      <c r="A230" s="880"/>
      <c r="B230" s="1495"/>
      <c r="C230" s="1495"/>
      <c r="D230" s="275"/>
      <c r="K230" s="1034"/>
      <c r="L230" s="1495"/>
      <c r="M230" s="1495"/>
      <c r="N230" s="1034"/>
      <c r="O230" s="1034"/>
      <c r="P230" s="1034"/>
      <c r="Q230" s="1034"/>
      <c r="R230" s="1495"/>
      <c r="S230" s="1034"/>
      <c r="T230" s="1034"/>
      <c r="U230" s="471"/>
      <c r="V230" s="1034"/>
      <c r="W230" s="1034"/>
      <c r="X230" s="1034"/>
      <c r="Y230" s="1034"/>
      <c r="Z230" s="1034"/>
      <c r="AA230" s="1491"/>
      <c r="AB230" s="493"/>
      <c r="AC230" s="493"/>
      <c r="AD230" s="493"/>
      <c r="AE230" s="493"/>
    </row>
    <row r="231" spans="1:31" s="1708" customFormat="1" ht="11.25" customHeight="1">
      <c r="A231" s="880"/>
      <c r="B231" s="1495"/>
      <c r="C231" s="1495"/>
      <c r="D231" s="275"/>
      <c r="K231" s="1034"/>
      <c r="L231" s="1495"/>
      <c r="M231" s="1495"/>
      <c r="N231" s="1034"/>
      <c r="O231" s="1034"/>
      <c r="P231" s="1034"/>
      <c r="Q231" s="1034"/>
      <c r="R231" s="1495"/>
      <c r="S231" s="1034"/>
      <c r="T231" s="1034"/>
      <c r="U231" s="471"/>
      <c r="V231" s="1034"/>
      <c r="W231" s="1034"/>
      <c r="X231" s="1034"/>
      <c r="Y231" s="1034"/>
      <c r="Z231" s="1034"/>
      <c r="AA231" s="1491"/>
      <c r="AB231" s="493"/>
      <c r="AC231" s="493"/>
      <c r="AD231" s="493"/>
      <c r="AE231" s="493"/>
    </row>
    <row r="232" spans="1:31" s="1708" customFormat="1" ht="11.25" customHeight="1">
      <c r="A232" s="880"/>
      <c r="B232" s="1495"/>
      <c r="C232" s="1495"/>
      <c r="D232" s="275"/>
      <c r="K232" s="1034"/>
      <c r="L232" s="1495"/>
      <c r="M232" s="1495"/>
      <c r="N232" s="1034"/>
      <c r="O232" s="1034"/>
      <c r="P232" s="1034"/>
      <c r="Q232" s="1034"/>
      <c r="R232" s="1495"/>
      <c r="S232" s="1034"/>
      <c r="T232" s="1034"/>
      <c r="U232" s="471"/>
      <c r="V232" s="1034"/>
      <c r="W232" s="1034"/>
      <c r="X232" s="1034"/>
      <c r="Y232" s="1034"/>
      <c r="Z232" s="1034"/>
      <c r="AA232" s="1491"/>
      <c r="AB232" s="493"/>
      <c r="AC232" s="493"/>
      <c r="AD232" s="493"/>
      <c r="AE232" s="493"/>
    </row>
    <row r="233" spans="1:31" s="1708" customFormat="1" ht="11.25" customHeight="1">
      <c r="A233" s="880"/>
      <c r="B233" s="1495"/>
      <c r="C233" s="1495"/>
      <c r="D233" s="275"/>
      <c r="K233" s="1034"/>
      <c r="L233" s="1495"/>
      <c r="M233" s="1495"/>
      <c r="N233" s="1034"/>
      <c r="O233" s="1034"/>
      <c r="P233" s="1034"/>
      <c r="Q233" s="1034"/>
      <c r="R233" s="1495"/>
      <c r="S233" s="1034"/>
      <c r="T233" s="1034"/>
      <c r="U233" s="471"/>
      <c r="V233" s="1034"/>
      <c r="W233" s="1034"/>
      <c r="X233" s="1034"/>
      <c r="Y233" s="1034"/>
      <c r="Z233" s="1034"/>
      <c r="AA233" s="1491"/>
      <c r="AB233" s="493"/>
      <c r="AC233" s="493"/>
      <c r="AD233" s="493"/>
      <c r="AE233" s="493"/>
    </row>
    <row r="234" spans="1:31" s="1708" customFormat="1" ht="11.25" customHeight="1">
      <c r="A234" s="880"/>
      <c r="B234" s="1495"/>
      <c r="C234" s="1495"/>
      <c r="D234" s="275"/>
      <c r="K234" s="1034"/>
      <c r="L234" s="1495"/>
      <c r="M234" s="1495"/>
      <c r="N234" s="1034"/>
      <c r="O234" s="1034"/>
      <c r="P234" s="1034"/>
      <c r="Q234" s="1034"/>
      <c r="R234" s="1495"/>
      <c r="S234" s="1034"/>
      <c r="T234" s="1034"/>
      <c r="U234" s="471"/>
      <c r="V234" s="1034"/>
      <c r="W234" s="1034"/>
      <c r="X234" s="1034"/>
      <c r="Y234" s="1034"/>
      <c r="Z234" s="1034"/>
      <c r="AA234" s="1491"/>
      <c r="AB234" s="493"/>
      <c r="AC234" s="493"/>
      <c r="AD234" s="493"/>
      <c r="AE234" s="493"/>
    </row>
    <row r="235" spans="1:31" s="1708" customFormat="1" ht="11.25" customHeight="1">
      <c r="A235" s="880"/>
      <c r="B235" s="1495"/>
      <c r="C235" s="1495"/>
      <c r="D235" s="275"/>
      <c r="K235" s="1034"/>
      <c r="L235" s="1495"/>
      <c r="M235" s="1495"/>
      <c r="N235" s="1034"/>
      <c r="O235" s="1034"/>
      <c r="P235" s="1034"/>
      <c r="Q235" s="1034"/>
      <c r="R235" s="1495"/>
      <c r="S235" s="1034"/>
      <c r="T235" s="1034"/>
      <c r="U235" s="471"/>
      <c r="V235" s="1034"/>
      <c r="W235" s="1034"/>
      <c r="X235" s="1034"/>
      <c r="Y235" s="1034"/>
      <c r="Z235" s="1034"/>
      <c r="AA235" s="1491"/>
      <c r="AB235" s="493"/>
      <c r="AC235" s="493"/>
      <c r="AD235" s="493"/>
      <c r="AE235" s="493"/>
    </row>
    <row r="236" spans="1:31" s="1708" customFormat="1" ht="11.25" customHeight="1">
      <c r="A236" s="880"/>
      <c r="B236" s="1495"/>
      <c r="C236" s="1495"/>
      <c r="D236" s="275"/>
      <c r="K236" s="1034"/>
      <c r="L236" s="1495"/>
      <c r="M236" s="1495"/>
      <c r="N236" s="1034"/>
      <c r="O236" s="1034"/>
      <c r="P236" s="1034"/>
      <c r="Q236" s="1034"/>
      <c r="R236" s="1495"/>
      <c r="S236" s="1034"/>
      <c r="T236" s="1034"/>
      <c r="U236" s="471"/>
      <c r="V236" s="1034"/>
      <c r="W236" s="1034"/>
      <c r="X236" s="1034"/>
      <c r="Y236" s="1034"/>
      <c r="Z236" s="1034"/>
      <c r="AA236" s="1491"/>
      <c r="AB236" s="493"/>
      <c r="AC236" s="493"/>
      <c r="AD236" s="493"/>
      <c r="AE236" s="493"/>
    </row>
    <row r="237" spans="1:31" s="1708" customFormat="1" ht="11.25" customHeight="1">
      <c r="A237" s="880"/>
      <c r="B237" s="1495"/>
      <c r="C237" s="1495"/>
      <c r="D237" s="275"/>
      <c r="K237" s="1034"/>
      <c r="L237" s="1495"/>
      <c r="M237" s="1495"/>
      <c r="N237" s="1034"/>
      <c r="O237" s="1034"/>
      <c r="P237" s="1034"/>
      <c r="Q237" s="1034"/>
      <c r="R237" s="1495"/>
      <c r="S237" s="1034"/>
      <c r="T237" s="1034"/>
      <c r="U237" s="471"/>
      <c r="V237" s="1034"/>
      <c r="W237" s="1034"/>
      <c r="X237" s="1034"/>
      <c r="Y237" s="1034"/>
      <c r="Z237" s="1034"/>
      <c r="AA237" s="1491"/>
      <c r="AB237" s="493"/>
      <c r="AC237" s="493"/>
      <c r="AD237" s="493"/>
      <c r="AE237" s="493"/>
    </row>
    <row r="238" spans="1:31" s="1708" customFormat="1" ht="11.25" customHeight="1">
      <c r="A238" s="880"/>
      <c r="B238" s="1495"/>
      <c r="C238" s="1495"/>
      <c r="D238" s="275"/>
      <c r="K238" s="1034"/>
      <c r="L238" s="1495"/>
      <c r="M238" s="1495"/>
      <c r="N238" s="1034"/>
      <c r="O238" s="1034"/>
      <c r="P238" s="1034"/>
      <c r="Q238" s="1034"/>
      <c r="R238" s="1495"/>
      <c r="S238" s="1034"/>
      <c r="T238" s="1034"/>
      <c r="U238" s="471"/>
      <c r="V238" s="1034"/>
      <c r="W238" s="1034"/>
      <c r="X238" s="1034"/>
      <c r="Y238" s="1034"/>
      <c r="Z238" s="1034"/>
      <c r="AA238" s="1491"/>
      <c r="AB238" s="493"/>
      <c r="AC238" s="493"/>
      <c r="AD238" s="493"/>
      <c r="AE238" s="493"/>
    </row>
    <row r="239" spans="1:31" s="1708" customFormat="1" ht="11.25" customHeight="1">
      <c r="A239" s="880"/>
      <c r="B239" s="1495"/>
      <c r="C239" s="1495"/>
      <c r="D239" s="275"/>
      <c r="K239" s="1034"/>
      <c r="L239" s="1495"/>
      <c r="M239" s="1495"/>
      <c r="N239" s="1034"/>
      <c r="O239" s="1034"/>
      <c r="P239" s="1034"/>
      <c r="Q239" s="1034"/>
      <c r="R239" s="1495"/>
      <c r="S239" s="1034"/>
      <c r="T239" s="1034"/>
      <c r="U239" s="471"/>
      <c r="V239" s="1034"/>
      <c r="W239" s="1034"/>
      <c r="X239" s="1034"/>
      <c r="Y239" s="1034"/>
      <c r="Z239" s="1034"/>
      <c r="AA239" s="1491"/>
      <c r="AB239" s="493"/>
      <c r="AC239" s="493"/>
      <c r="AD239" s="493"/>
      <c r="AE239" s="493"/>
    </row>
    <row r="240" spans="1:31" s="1708" customFormat="1" ht="11.25" customHeight="1">
      <c r="A240" s="880"/>
      <c r="B240" s="1495"/>
      <c r="C240" s="1495"/>
      <c r="D240" s="275"/>
      <c r="K240" s="1034"/>
      <c r="L240" s="1495"/>
      <c r="M240" s="1495"/>
      <c r="N240" s="1034"/>
      <c r="O240" s="1034"/>
      <c r="P240" s="1034"/>
      <c r="Q240" s="1034"/>
      <c r="R240" s="1495"/>
      <c r="S240" s="1034"/>
      <c r="T240" s="1034"/>
      <c r="U240" s="471"/>
      <c r="V240" s="1034"/>
      <c r="W240" s="1034"/>
      <c r="X240" s="1034"/>
      <c r="Y240" s="1034"/>
      <c r="Z240" s="1034"/>
      <c r="AA240" s="1491"/>
      <c r="AB240" s="493"/>
      <c r="AC240" s="493"/>
      <c r="AD240" s="493"/>
      <c r="AE240" s="493"/>
    </row>
    <row r="241" spans="1:31" s="1708" customFormat="1" ht="11.25" customHeight="1">
      <c r="A241" s="880"/>
      <c r="B241" s="1495"/>
      <c r="C241" s="1495"/>
      <c r="D241" s="275"/>
      <c r="K241" s="1034"/>
      <c r="L241" s="1495"/>
      <c r="M241" s="1495"/>
      <c r="N241" s="1034"/>
      <c r="O241" s="1034"/>
      <c r="P241" s="1034"/>
      <c r="Q241" s="1034"/>
      <c r="R241" s="1495"/>
      <c r="S241" s="1034"/>
      <c r="T241" s="1034"/>
      <c r="U241" s="471"/>
      <c r="V241" s="1034"/>
      <c r="W241" s="1034"/>
      <c r="X241" s="1034"/>
      <c r="Y241" s="1034"/>
      <c r="Z241" s="1034"/>
      <c r="AA241" s="1491"/>
      <c r="AB241" s="493"/>
      <c r="AC241" s="493"/>
      <c r="AD241" s="493"/>
      <c r="AE241" s="493"/>
    </row>
    <row r="242" spans="1:31" s="1708" customFormat="1" ht="11.25" customHeight="1">
      <c r="A242" s="880"/>
      <c r="B242" s="1495"/>
      <c r="C242" s="1495"/>
      <c r="D242" s="275"/>
      <c r="K242" s="1034"/>
      <c r="L242" s="1495"/>
      <c r="M242" s="1495"/>
      <c r="N242" s="1034"/>
      <c r="O242" s="1034"/>
      <c r="P242" s="1034"/>
      <c r="Q242" s="1034"/>
      <c r="R242" s="1495"/>
      <c r="S242" s="1034"/>
      <c r="T242" s="1034"/>
      <c r="U242" s="471"/>
      <c r="V242" s="1034"/>
      <c r="W242" s="1034"/>
      <c r="X242" s="1034"/>
      <c r="Y242" s="1034"/>
      <c r="Z242" s="1034"/>
      <c r="AA242" s="1491"/>
      <c r="AB242" s="493"/>
      <c r="AC242" s="493"/>
      <c r="AD242" s="493"/>
      <c r="AE242" s="493"/>
    </row>
    <row r="243" spans="1:31" s="1708" customFormat="1" ht="11.25" customHeight="1">
      <c r="A243" s="880"/>
      <c r="B243" s="1495"/>
      <c r="C243" s="1495"/>
      <c r="D243" s="275"/>
      <c r="K243" s="1034"/>
      <c r="L243" s="1495"/>
      <c r="M243" s="1495"/>
      <c r="N243" s="1034"/>
      <c r="O243" s="1034"/>
      <c r="P243" s="1034"/>
      <c r="Q243" s="1034"/>
      <c r="R243" s="1495"/>
      <c r="S243" s="1034"/>
      <c r="T243" s="1034"/>
      <c r="U243" s="471"/>
      <c r="V243" s="1034"/>
      <c r="W243" s="1034"/>
      <c r="X243" s="1034"/>
      <c r="Y243" s="1034"/>
      <c r="Z243" s="1034"/>
      <c r="AA243" s="1491"/>
      <c r="AB243" s="493"/>
      <c r="AC243" s="493"/>
      <c r="AD243" s="493"/>
      <c r="AE243" s="493"/>
    </row>
    <row r="244" spans="1:31" s="1708" customFormat="1" ht="11.25" customHeight="1">
      <c r="A244" s="880"/>
      <c r="B244" s="1495"/>
      <c r="C244" s="1495"/>
      <c r="D244" s="275"/>
      <c r="K244" s="1034"/>
      <c r="L244" s="1495"/>
      <c r="M244" s="1495"/>
      <c r="N244" s="1034"/>
      <c r="O244" s="1034"/>
      <c r="P244" s="1034"/>
      <c r="Q244" s="1034"/>
      <c r="R244" s="1495"/>
      <c r="S244" s="1034"/>
      <c r="T244" s="1034"/>
      <c r="U244" s="471"/>
      <c r="V244" s="1034"/>
      <c r="W244" s="1034"/>
      <c r="X244" s="1034"/>
      <c r="Y244" s="1034"/>
      <c r="Z244" s="1034"/>
      <c r="AA244" s="1491"/>
      <c r="AB244" s="493"/>
      <c r="AC244" s="493"/>
      <c r="AD244" s="493"/>
      <c r="AE244" s="493"/>
    </row>
    <row r="245" spans="1:31" s="1708" customFormat="1" ht="11.25" customHeight="1">
      <c r="A245" s="880"/>
      <c r="B245" s="1495"/>
      <c r="C245" s="1495"/>
      <c r="D245" s="275"/>
      <c r="K245" s="1034"/>
      <c r="L245" s="1495"/>
      <c r="M245" s="1495"/>
      <c r="N245" s="1034"/>
      <c r="O245" s="1034"/>
      <c r="P245" s="1034"/>
      <c r="Q245" s="1034"/>
      <c r="R245" s="1495"/>
      <c r="S245" s="1034"/>
      <c r="T245" s="1034"/>
      <c r="U245" s="471"/>
      <c r="V245" s="1034"/>
      <c r="W245" s="1034"/>
      <c r="X245" s="1034"/>
      <c r="Y245" s="1034"/>
      <c r="Z245" s="1034"/>
      <c r="AA245" s="1491"/>
      <c r="AB245" s="493"/>
      <c r="AC245" s="493"/>
      <c r="AD245" s="493"/>
      <c r="AE245" s="493"/>
    </row>
    <row r="246" spans="1:31" s="1708" customFormat="1" ht="11.25" customHeight="1">
      <c r="A246" s="880"/>
      <c r="B246" s="1495"/>
      <c r="C246" s="1495"/>
      <c r="D246" s="275"/>
      <c r="K246" s="1034"/>
      <c r="L246" s="1495"/>
      <c r="M246" s="1495"/>
      <c r="N246" s="1034"/>
      <c r="O246" s="1034"/>
      <c r="P246" s="1034"/>
      <c r="Q246" s="1034"/>
      <c r="R246" s="1495"/>
      <c r="S246" s="1034"/>
      <c r="T246" s="1034"/>
      <c r="U246" s="471"/>
      <c r="V246" s="1034"/>
      <c r="W246" s="1034"/>
      <c r="X246" s="1034"/>
      <c r="Y246" s="1034"/>
      <c r="Z246" s="1034"/>
      <c r="AA246" s="1491"/>
      <c r="AB246" s="493"/>
      <c r="AC246" s="493"/>
      <c r="AD246" s="493"/>
      <c r="AE246" s="493"/>
    </row>
    <row r="247" spans="1:31" s="1708" customFormat="1" ht="11.25" customHeight="1">
      <c r="A247" s="880"/>
      <c r="B247" s="1495"/>
      <c r="C247" s="1495"/>
      <c r="D247" s="275"/>
      <c r="K247" s="1034"/>
      <c r="L247" s="1495"/>
      <c r="M247" s="1495"/>
      <c r="N247" s="1034"/>
      <c r="O247" s="1034"/>
      <c r="P247" s="1034"/>
      <c r="Q247" s="1034"/>
      <c r="R247" s="1495"/>
      <c r="S247" s="1034"/>
      <c r="T247" s="1034"/>
      <c r="U247" s="471"/>
      <c r="V247" s="1034"/>
      <c r="W247" s="1034"/>
      <c r="X247" s="1034"/>
      <c r="Y247" s="1034"/>
      <c r="Z247" s="1034"/>
      <c r="AA247" s="1491"/>
      <c r="AB247" s="493"/>
      <c r="AC247" s="493"/>
      <c r="AD247" s="493"/>
      <c r="AE247" s="493"/>
    </row>
    <row r="248" spans="1:31" s="1708" customFormat="1" ht="11.25" customHeight="1">
      <c r="A248" s="880"/>
      <c r="B248" s="1495"/>
      <c r="C248" s="1495"/>
      <c r="D248" s="275"/>
      <c r="K248" s="1034"/>
      <c r="L248" s="1495"/>
      <c r="M248" s="1495"/>
      <c r="N248" s="1034"/>
      <c r="O248" s="1034"/>
      <c r="P248" s="1034"/>
      <c r="Q248" s="1034"/>
      <c r="R248" s="1495"/>
      <c r="S248" s="1034"/>
      <c r="T248" s="1034"/>
      <c r="U248" s="471"/>
      <c r="V248" s="1034"/>
      <c r="W248" s="1034"/>
      <c r="X248" s="1034"/>
      <c r="Y248" s="1034"/>
      <c r="Z248" s="1034"/>
      <c r="AA248" s="1491"/>
      <c r="AB248" s="493"/>
      <c r="AC248" s="493"/>
      <c r="AD248" s="493"/>
      <c r="AE248" s="493"/>
    </row>
    <row r="249" spans="1:31" s="1708" customFormat="1" ht="11.25" customHeight="1">
      <c r="A249" s="880"/>
      <c r="B249" s="1495"/>
      <c r="C249" s="1495"/>
      <c r="D249" s="275"/>
      <c r="K249" s="1034"/>
      <c r="L249" s="1495"/>
      <c r="M249" s="1495"/>
      <c r="N249" s="1034"/>
      <c r="O249" s="1034"/>
      <c r="P249" s="1034"/>
      <c r="Q249" s="1034"/>
      <c r="R249" s="1495"/>
      <c r="S249" s="1034"/>
      <c r="T249" s="1034"/>
      <c r="U249" s="471"/>
      <c r="V249" s="1034"/>
      <c r="W249" s="1034"/>
      <c r="X249" s="1034"/>
      <c r="Y249" s="1034"/>
      <c r="Z249" s="1034"/>
      <c r="AA249" s="1491"/>
      <c r="AB249" s="493"/>
      <c r="AC249" s="493"/>
      <c r="AD249" s="493"/>
      <c r="AE249" s="493"/>
    </row>
    <row r="250" spans="1:31" s="1708" customFormat="1" ht="11.25" customHeight="1">
      <c r="A250" s="880"/>
      <c r="B250" s="1495"/>
      <c r="C250" s="1495"/>
      <c r="D250" s="275"/>
      <c r="K250" s="1034"/>
      <c r="L250" s="1495"/>
      <c r="M250" s="1495"/>
      <c r="N250" s="1034"/>
      <c r="O250" s="1034"/>
      <c r="P250" s="1034"/>
      <c r="Q250" s="1034"/>
      <c r="R250" s="1495"/>
      <c r="S250" s="1034"/>
      <c r="T250" s="1034"/>
      <c r="U250" s="471"/>
      <c r="V250" s="1034"/>
      <c r="W250" s="1034"/>
      <c r="X250" s="1034"/>
      <c r="Y250" s="1034"/>
      <c r="Z250" s="1034"/>
      <c r="AA250" s="1491"/>
      <c r="AB250" s="493"/>
      <c r="AC250" s="493"/>
      <c r="AD250" s="493"/>
      <c r="AE250" s="493"/>
    </row>
    <row r="251" spans="1:31" s="1708" customFormat="1" ht="11.25" customHeight="1">
      <c r="A251" s="880"/>
      <c r="B251" s="1495"/>
      <c r="C251" s="1495"/>
      <c r="D251" s="275"/>
      <c r="K251" s="1034"/>
      <c r="L251" s="1495"/>
      <c r="M251" s="1495"/>
      <c r="N251" s="1034"/>
      <c r="O251" s="1034"/>
      <c r="P251" s="1034"/>
      <c r="Q251" s="1034"/>
      <c r="R251" s="1495"/>
      <c r="S251" s="1034"/>
      <c r="T251" s="1034"/>
      <c r="U251" s="471"/>
      <c r="V251" s="1034"/>
      <c r="W251" s="1034"/>
      <c r="X251" s="1034"/>
      <c r="Y251" s="1034"/>
      <c r="Z251" s="1034"/>
      <c r="AA251" s="1491"/>
      <c r="AB251" s="493"/>
      <c r="AC251" s="493"/>
      <c r="AD251" s="493"/>
      <c r="AE251" s="493"/>
    </row>
    <row r="252" spans="1:31" s="1708" customFormat="1" ht="11.25" customHeight="1">
      <c r="A252" s="880"/>
      <c r="B252" s="1495"/>
      <c r="C252" s="1495"/>
      <c r="D252" s="275"/>
      <c r="K252" s="1034"/>
      <c r="L252" s="1495"/>
      <c r="M252" s="1495"/>
      <c r="N252" s="1034"/>
      <c r="O252" s="1034"/>
      <c r="P252" s="1034"/>
      <c r="Q252" s="1034"/>
      <c r="R252" s="1495"/>
      <c r="S252" s="1034"/>
      <c r="T252" s="1034"/>
      <c r="U252" s="471"/>
      <c r="V252" s="1034"/>
      <c r="W252" s="1034"/>
      <c r="X252" s="1034"/>
      <c r="Y252" s="1034"/>
      <c r="Z252" s="1034"/>
      <c r="AA252" s="1491"/>
      <c r="AB252" s="493"/>
      <c r="AC252" s="493"/>
      <c r="AD252" s="493"/>
      <c r="AE252" s="493"/>
    </row>
    <row r="253" spans="1:31" s="1708" customFormat="1" ht="11.25" customHeight="1">
      <c r="A253" s="880"/>
      <c r="B253" s="1495"/>
      <c r="C253" s="1495"/>
      <c r="D253" s="275"/>
      <c r="K253" s="1034"/>
      <c r="L253" s="1495"/>
      <c r="M253" s="1495"/>
      <c r="N253" s="1034"/>
      <c r="O253" s="1034"/>
      <c r="P253" s="1034"/>
      <c r="Q253" s="1034"/>
      <c r="R253" s="1495"/>
      <c r="S253" s="1034"/>
      <c r="T253" s="1034"/>
      <c r="U253" s="471"/>
      <c r="V253" s="1034"/>
      <c r="W253" s="1034"/>
      <c r="X253" s="1034"/>
      <c r="Y253" s="1034"/>
      <c r="Z253" s="1034"/>
      <c r="AA253" s="1491"/>
      <c r="AB253" s="493"/>
      <c r="AC253" s="493"/>
      <c r="AD253" s="493"/>
      <c r="AE253" s="493"/>
    </row>
    <row r="254" spans="1:31" s="1708" customFormat="1" ht="11.25" customHeight="1">
      <c r="A254" s="880"/>
      <c r="B254" s="1495"/>
      <c r="C254" s="1495"/>
      <c r="D254" s="275"/>
      <c r="K254" s="1034"/>
      <c r="L254" s="1495"/>
      <c r="M254" s="1495"/>
      <c r="N254" s="1034"/>
      <c r="O254" s="1034"/>
      <c r="P254" s="1034"/>
      <c r="Q254" s="1034"/>
      <c r="R254" s="1495"/>
      <c r="S254" s="1034"/>
      <c r="T254" s="1034"/>
      <c r="U254" s="471"/>
      <c r="V254" s="1034"/>
      <c r="W254" s="1034"/>
      <c r="X254" s="1034"/>
      <c r="Y254" s="1034"/>
      <c r="Z254" s="1034"/>
      <c r="AA254" s="1491"/>
      <c r="AB254" s="493"/>
      <c r="AC254" s="493"/>
      <c r="AD254" s="493"/>
      <c r="AE254" s="493"/>
    </row>
    <row r="255" spans="1:31" s="1708" customFormat="1" ht="11.25" customHeight="1">
      <c r="A255" s="880"/>
      <c r="B255" s="1495"/>
      <c r="C255" s="1495"/>
      <c r="D255" s="275"/>
      <c r="K255" s="1034"/>
      <c r="L255" s="1495"/>
      <c r="M255" s="1495"/>
      <c r="N255" s="1034"/>
      <c r="O255" s="1034"/>
      <c r="P255" s="1034"/>
      <c r="Q255" s="1034"/>
      <c r="R255" s="1495"/>
      <c r="S255" s="1034"/>
      <c r="T255" s="1034"/>
      <c r="U255" s="471"/>
      <c r="V255" s="1034"/>
      <c r="W255" s="1034"/>
      <c r="X255" s="1034"/>
      <c r="Y255" s="1034"/>
      <c r="Z255" s="1034"/>
      <c r="AA255" s="1491"/>
      <c r="AB255" s="493"/>
      <c r="AC255" s="493"/>
      <c r="AD255" s="493"/>
      <c r="AE255" s="493"/>
    </row>
    <row r="256" spans="1:31" s="1708" customFormat="1" ht="11.25" customHeight="1">
      <c r="A256" s="880"/>
      <c r="B256" s="1495"/>
      <c r="C256" s="1495"/>
      <c r="D256" s="275"/>
      <c r="K256" s="1034"/>
      <c r="L256" s="1495"/>
      <c r="M256" s="1495"/>
      <c r="N256" s="1034"/>
      <c r="O256" s="1034"/>
      <c r="P256" s="1034"/>
      <c r="Q256" s="1034"/>
      <c r="R256" s="1495"/>
      <c r="S256" s="1034"/>
      <c r="T256" s="1034"/>
      <c r="U256" s="471"/>
      <c r="V256" s="1034"/>
      <c r="W256" s="1034"/>
      <c r="X256" s="1034"/>
      <c r="Y256" s="1034"/>
      <c r="Z256" s="1034"/>
      <c r="AA256" s="1491"/>
      <c r="AB256" s="493"/>
      <c r="AC256" s="493"/>
      <c r="AD256" s="493"/>
      <c r="AE256" s="493"/>
    </row>
    <row r="257" spans="1:31" s="1708" customFormat="1" ht="11.25" customHeight="1">
      <c r="A257" s="880"/>
      <c r="B257" s="1495"/>
      <c r="C257" s="1495"/>
      <c r="D257" s="275"/>
      <c r="K257" s="1034"/>
      <c r="L257" s="1495"/>
      <c r="M257" s="1495"/>
      <c r="N257" s="1034"/>
      <c r="O257" s="1034"/>
      <c r="P257" s="1034"/>
      <c r="Q257" s="1034"/>
      <c r="R257" s="1495"/>
      <c r="S257" s="1034"/>
      <c r="T257" s="1034"/>
      <c r="U257" s="471"/>
      <c r="V257" s="1034"/>
      <c r="W257" s="1034"/>
      <c r="X257" s="1034"/>
      <c r="Y257" s="1034"/>
      <c r="Z257" s="1034"/>
      <c r="AA257" s="1491"/>
      <c r="AB257" s="493"/>
      <c r="AC257" s="493"/>
      <c r="AD257" s="493"/>
      <c r="AE257" s="493"/>
    </row>
    <row r="258" spans="1:31" s="1708" customFormat="1" ht="11.25" customHeight="1">
      <c r="A258" s="880"/>
      <c r="B258" s="1495"/>
      <c r="C258" s="1495"/>
      <c r="D258" s="275"/>
      <c r="K258" s="1034"/>
      <c r="L258" s="1495"/>
      <c r="M258" s="1495"/>
      <c r="N258" s="1034"/>
      <c r="O258" s="1034"/>
      <c r="P258" s="1034"/>
      <c r="Q258" s="1034"/>
      <c r="R258" s="1495"/>
      <c r="S258" s="1034"/>
      <c r="T258" s="1034"/>
      <c r="U258" s="471"/>
      <c r="V258" s="1034"/>
      <c r="W258" s="1034"/>
      <c r="X258" s="1034"/>
      <c r="Y258" s="1034"/>
      <c r="Z258" s="1034"/>
      <c r="AA258" s="1491"/>
      <c r="AB258" s="493"/>
      <c r="AC258" s="493"/>
      <c r="AD258" s="493"/>
      <c r="AE258" s="493"/>
    </row>
    <row r="259" spans="1:31" s="1708" customFormat="1" ht="11.25" customHeight="1">
      <c r="A259" s="880"/>
      <c r="B259" s="1495"/>
      <c r="C259" s="1495"/>
      <c r="D259" s="275"/>
      <c r="K259" s="1034"/>
      <c r="L259" s="1495"/>
      <c r="M259" s="1495"/>
      <c r="N259" s="1034"/>
      <c r="O259" s="1034"/>
      <c r="P259" s="1034"/>
      <c r="Q259" s="1034"/>
      <c r="R259" s="1495"/>
      <c r="S259" s="1034"/>
      <c r="T259" s="1034"/>
      <c r="U259" s="471"/>
      <c r="V259" s="1034"/>
      <c r="W259" s="1034"/>
      <c r="X259" s="1034"/>
      <c r="Y259" s="1034"/>
      <c r="Z259" s="1034"/>
      <c r="AA259" s="1491"/>
      <c r="AB259" s="493"/>
      <c r="AC259" s="493"/>
      <c r="AD259" s="493"/>
      <c r="AE259" s="493"/>
    </row>
    <row r="260" spans="1:31" s="1708" customFormat="1" ht="11.25" customHeight="1">
      <c r="A260" s="880"/>
      <c r="B260" s="1495"/>
      <c r="C260" s="1495"/>
      <c r="D260" s="275"/>
      <c r="K260" s="1034"/>
      <c r="L260" s="1495"/>
      <c r="M260" s="1495"/>
      <c r="N260" s="1034"/>
      <c r="O260" s="1034"/>
      <c r="P260" s="1034"/>
      <c r="Q260" s="1034"/>
      <c r="R260" s="1495"/>
      <c r="S260" s="1034"/>
      <c r="T260" s="1034"/>
      <c r="U260" s="471"/>
      <c r="V260" s="1034"/>
      <c r="W260" s="1034"/>
      <c r="X260" s="1034"/>
      <c r="Y260" s="1034"/>
      <c r="Z260" s="1034"/>
      <c r="AA260" s="1491"/>
      <c r="AB260" s="493"/>
      <c r="AC260" s="493"/>
      <c r="AD260" s="493"/>
      <c r="AE260" s="493"/>
    </row>
    <row r="261" spans="1:31" s="1708" customFormat="1" ht="11.25" customHeight="1">
      <c r="A261" s="880"/>
      <c r="B261" s="1495"/>
      <c r="C261" s="1495"/>
      <c r="D261" s="275"/>
      <c r="K261" s="1034"/>
      <c r="L261" s="1495"/>
      <c r="M261" s="1495"/>
      <c r="N261" s="1034"/>
      <c r="O261" s="1034"/>
      <c r="P261" s="1034"/>
      <c r="Q261" s="1034"/>
      <c r="R261" s="1495"/>
      <c r="S261" s="1034"/>
      <c r="T261" s="1034"/>
      <c r="U261" s="471"/>
      <c r="V261" s="1034"/>
      <c r="W261" s="1034"/>
      <c r="X261" s="1034"/>
      <c r="Y261" s="1034"/>
      <c r="Z261" s="1034"/>
      <c r="AA261" s="1491"/>
      <c r="AB261" s="493"/>
      <c r="AC261" s="493"/>
      <c r="AD261" s="493"/>
      <c r="AE261" s="493"/>
    </row>
    <row r="262" spans="1:31" s="1708" customFormat="1" ht="11.25" customHeight="1">
      <c r="A262" s="880"/>
      <c r="B262" s="1495"/>
      <c r="C262" s="1495"/>
      <c r="D262" s="275"/>
      <c r="K262" s="1034"/>
      <c r="L262" s="1495"/>
      <c r="M262" s="1495"/>
      <c r="N262" s="1034"/>
      <c r="O262" s="1034"/>
      <c r="P262" s="1034"/>
      <c r="Q262" s="1034"/>
      <c r="R262" s="1495"/>
      <c r="S262" s="1034"/>
      <c r="T262" s="1034"/>
      <c r="U262" s="471"/>
      <c r="V262" s="1034"/>
      <c r="W262" s="1034"/>
      <c r="X262" s="1034"/>
      <c r="Y262" s="1034"/>
      <c r="Z262" s="1034"/>
      <c r="AA262" s="1491"/>
      <c r="AB262" s="493"/>
      <c r="AC262" s="493"/>
      <c r="AD262" s="493"/>
      <c r="AE262" s="493"/>
    </row>
    <row r="263" spans="1:31" s="1708" customFormat="1" ht="11.25" customHeight="1">
      <c r="A263" s="880"/>
      <c r="B263" s="1495"/>
      <c r="C263" s="1495"/>
      <c r="D263" s="275"/>
      <c r="K263" s="1034"/>
      <c r="L263" s="1495"/>
      <c r="M263" s="1495"/>
      <c r="N263" s="1034"/>
      <c r="O263" s="1034"/>
      <c r="P263" s="1034"/>
      <c r="Q263" s="1034"/>
      <c r="R263" s="1495"/>
      <c r="S263" s="1034"/>
      <c r="T263" s="1034"/>
      <c r="U263" s="471"/>
      <c r="V263" s="1034"/>
      <c r="W263" s="1034"/>
      <c r="X263" s="1034"/>
      <c r="Y263" s="1034"/>
      <c r="Z263" s="1034"/>
      <c r="AA263" s="1491"/>
      <c r="AB263" s="493"/>
      <c r="AC263" s="493"/>
      <c r="AD263" s="493"/>
      <c r="AE263" s="493"/>
    </row>
    <row r="264" spans="1:31" s="1708" customFormat="1" ht="11.25" customHeight="1">
      <c r="A264" s="880"/>
      <c r="B264" s="1495"/>
      <c r="C264" s="1495"/>
      <c r="D264" s="275"/>
      <c r="K264" s="1034"/>
      <c r="L264" s="1495"/>
      <c r="M264" s="1495"/>
      <c r="N264" s="1034"/>
      <c r="O264" s="1034"/>
      <c r="P264" s="1034"/>
      <c r="Q264" s="1034"/>
      <c r="R264" s="1495"/>
      <c r="S264" s="1034"/>
      <c r="T264" s="1034"/>
      <c r="U264" s="471"/>
      <c r="V264" s="1034"/>
      <c r="W264" s="1034"/>
      <c r="X264" s="1034"/>
      <c r="Y264" s="1034"/>
      <c r="Z264" s="1034"/>
      <c r="AA264" s="1491"/>
      <c r="AB264" s="493"/>
      <c r="AC264" s="493"/>
      <c r="AD264" s="493"/>
      <c r="AE264" s="493"/>
    </row>
    <row r="265" spans="1:31" s="1708" customFormat="1" ht="11.25" customHeight="1">
      <c r="A265" s="880"/>
      <c r="B265" s="1495"/>
      <c r="C265" s="1495"/>
      <c r="D265" s="275"/>
      <c r="K265" s="1034"/>
      <c r="L265" s="1495"/>
      <c r="M265" s="1495"/>
      <c r="N265" s="1034"/>
      <c r="O265" s="1034"/>
      <c r="P265" s="1034"/>
      <c r="Q265" s="1034"/>
      <c r="R265" s="1495"/>
      <c r="S265" s="1034"/>
      <c r="T265" s="1034"/>
      <c r="U265" s="471"/>
      <c r="V265" s="1034"/>
      <c r="W265" s="1034"/>
      <c r="X265" s="1034"/>
      <c r="Y265" s="1034"/>
      <c r="Z265" s="1034"/>
      <c r="AA265" s="1491"/>
      <c r="AB265" s="493"/>
      <c r="AC265" s="493"/>
      <c r="AD265" s="493"/>
      <c r="AE265" s="493"/>
    </row>
    <row r="266" spans="1:31" s="1708" customFormat="1" ht="11.25" customHeight="1">
      <c r="A266" s="880"/>
      <c r="B266" s="1495"/>
      <c r="C266" s="1495"/>
      <c r="D266" s="275"/>
      <c r="K266" s="1034"/>
      <c r="L266" s="1495"/>
      <c r="M266" s="1495"/>
      <c r="N266" s="1034"/>
      <c r="O266" s="1034"/>
      <c r="P266" s="1034"/>
      <c r="Q266" s="1034"/>
      <c r="R266" s="1495"/>
      <c r="S266" s="1034"/>
      <c r="T266" s="1034"/>
      <c r="U266" s="471"/>
      <c r="V266" s="1034"/>
      <c r="W266" s="1034"/>
      <c r="X266" s="1034"/>
      <c r="Y266" s="1034"/>
      <c r="Z266" s="1034"/>
      <c r="AA266" s="1491"/>
      <c r="AB266" s="493"/>
      <c r="AC266" s="493"/>
      <c r="AD266" s="493"/>
      <c r="AE266" s="493"/>
    </row>
    <row r="267" spans="1:31" s="1708" customFormat="1" ht="11.25" customHeight="1">
      <c r="A267" s="880"/>
      <c r="B267" s="1495"/>
      <c r="C267" s="1495"/>
      <c r="D267" s="275"/>
      <c r="K267" s="1034"/>
      <c r="L267" s="1495"/>
      <c r="M267" s="1495"/>
      <c r="N267" s="1034"/>
      <c r="O267" s="1034"/>
      <c r="P267" s="1034"/>
      <c r="Q267" s="1034"/>
      <c r="R267" s="1495"/>
      <c r="S267" s="1034"/>
      <c r="T267" s="1034"/>
      <c r="U267" s="471"/>
      <c r="V267" s="1034"/>
      <c r="W267" s="1034"/>
      <c r="X267" s="1034"/>
      <c r="Y267" s="1034"/>
      <c r="Z267" s="1034"/>
      <c r="AA267" s="1491"/>
      <c r="AB267" s="493"/>
      <c r="AC267" s="493"/>
      <c r="AD267" s="493"/>
      <c r="AE267" s="493"/>
    </row>
    <row r="268" spans="1:31" s="1708" customFormat="1" ht="11.25" customHeight="1">
      <c r="A268" s="880"/>
      <c r="B268" s="1495"/>
      <c r="C268" s="1495"/>
      <c r="D268" s="275"/>
      <c r="K268" s="1034"/>
      <c r="L268" s="1495"/>
      <c r="M268" s="1495"/>
      <c r="N268" s="1034"/>
      <c r="O268" s="1034"/>
      <c r="P268" s="1034"/>
      <c r="Q268" s="1034"/>
      <c r="R268" s="1495"/>
      <c r="S268" s="1034"/>
      <c r="T268" s="1034"/>
      <c r="U268" s="471"/>
      <c r="V268" s="1034"/>
      <c r="W268" s="1034"/>
      <c r="X268" s="1034"/>
      <c r="Y268" s="1034"/>
      <c r="Z268" s="1034"/>
      <c r="AA268" s="1491"/>
      <c r="AB268" s="493"/>
      <c r="AC268" s="493"/>
      <c r="AD268" s="493"/>
      <c r="AE268" s="493"/>
    </row>
    <row r="269" spans="1:31" s="1708" customFormat="1" ht="11.25" customHeight="1">
      <c r="A269" s="880"/>
      <c r="B269" s="1495"/>
      <c r="C269" s="1495"/>
      <c r="D269" s="275"/>
      <c r="K269" s="1034"/>
      <c r="L269" s="1495"/>
      <c r="M269" s="1495"/>
      <c r="N269" s="1034"/>
      <c r="O269" s="1034"/>
      <c r="P269" s="1034"/>
      <c r="Q269" s="1034"/>
      <c r="R269" s="1495"/>
      <c r="S269" s="1034"/>
      <c r="T269" s="1034"/>
      <c r="U269" s="471"/>
      <c r="V269" s="1034"/>
      <c r="W269" s="1034"/>
      <c r="X269" s="1034"/>
      <c r="Y269" s="1034"/>
      <c r="Z269" s="1034"/>
      <c r="AA269" s="1491"/>
      <c r="AB269" s="493"/>
      <c r="AC269" s="493"/>
      <c r="AD269" s="493"/>
      <c r="AE269" s="493"/>
    </row>
    <row r="270" spans="1:31" s="1708" customFormat="1" ht="11.25" customHeight="1">
      <c r="A270" s="880"/>
      <c r="B270" s="1495"/>
      <c r="C270" s="1495"/>
      <c r="D270" s="275"/>
      <c r="K270" s="1034"/>
      <c r="L270" s="1495"/>
      <c r="M270" s="1495"/>
      <c r="N270" s="1034"/>
      <c r="O270" s="1034"/>
      <c r="P270" s="1034"/>
      <c r="Q270" s="1034"/>
      <c r="R270" s="1495"/>
      <c r="S270" s="1034"/>
      <c r="T270" s="1034"/>
      <c r="U270" s="471"/>
      <c r="V270" s="1034"/>
      <c r="W270" s="1034"/>
      <c r="X270" s="1034"/>
      <c r="Y270" s="1034"/>
      <c r="Z270" s="1034"/>
      <c r="AA270" s="1491"/>
      <c r="AB270" s="493"/>
      <c r="AC270" s="493"/>
      <c r="AD270" s="493"/>
      <c r="AE270" s="493"/>
    </row>
    <row r="271" spans="1:31" s="1708" customFormat="1" ht="11.25" customHeight="1">
      <c r="A271" s="880"/>
      <c r="B271" s="1495"/>
      <c r="C271" s="1495"/>
      <c r="D271" s="275"/>
      <c r="K271" s="1034"/>
      <c r="L271" s="1495"/>
      <c r="M271" s="1495"/>
      <c r="N271" s="1034"/>
      <c r="O271" s="1034"/>
      <c r="P271" s="1034"/>
      <c r="Q271" s="1034"/>
      <c r="R271" s="1495"/>
      <c r="S271" s="1034"/>
      <c r="T271" s="1034"/>
      <c r="U271" s="471"/>
      <c r="V271" s="1034"/>
      <c r="W271" s="1034"/>
      <c r="X271" s="1034"/>
      <c r="Y271" s="1034"/>
      <c r="Z271" s="1034"/>
      <c r="AA271" s="1491"/>
      <c r="AB271" s="493"/>
      <c r="AC271" s="493"/>
      <c r="AD271" s="493"/>
      <c r="AE271" s="493"/>
    </row>
    <row r="272" spans="1:31" s="1708" customFormat="1" ht="11.25" customHeight="1">
      <c r="A272" s="880"/>
      <c r="B272" s="1495"/>
      <c r="C272" s="1495"/>
      <c r="D272" s="275"/>
      <c r="K272" s="1034"/>
      <c r="L272" s="1495"/>
      <c r="M272" s="1495"/>
      <c r="N272" s="1034"/>
      <c r="O272" s="1034"/>
      <c r="P272" s="1034"/>
      <c r="Q272" s="1034"/>
      <c r="R272" s="1495"/>
      <c r="S272" s="1034"/>
      <c r="T272" s="1034"/>
      <c r="U272" s="471"/>
      <c r="V272" s="1034"/>
      <c r="W272" s="1034"/>
      <c r="X272" s="1034"/>
      <c r="Y272" s="1034"/>
      <c r="Z272" s="1034"/>
      <c r="AA272" s="1491"/>
      <c r="AB272" s="493"/>
      <c r="AC272" s="493"/>
      <c r="AD272" s="493"/>
      <c r="AE272" s="493"/>
    </row>
    <row r="273" spans="1:31" s="1708" customFormat="1" ht="11.25" customHeight="1">
      <c r="A273" s="880"/>
      <c r="B273" s="1495"/>
      <c r="C273" s="1495"/>
      <c r="D273" s="275"/>
      <c r="K273" s="1034"/>
      <c r="L273" s="1495"/>
      <c r="M273" s="1495"/>
      <c r="N273" s="1034"/>
      <c r="O273" s="1034"/>
      <c r="P273" s="1034"/>
      <c r="Q273" s="1034"/>
      <c r="R273" s="1495"/>
      <c r="S273" s="1034"/>
      <c r="T273" s="1034"/>
      <c r="U273" s="471"/>
      <c r="V273" s="1034"/>
      <c r="W273" s="1034"/>
      <c r="X273" s="1034"/>
      <c r="Y273" s="1034"/>
      <c r="Z273" s="1034"/>
      <c r="AA273" s="1491"/>
      <c r="AB273" s="493"/>
      <c r="AC273" s="493"/>
      <c r="AD273" s="493"/>
      <c r="AE273" s="493"/>
    </row>
    <row r="274" spans="1:31" s="1708" customFormat="1" ht="11.25" customHeight="1">
      <c r="A274" s="880"/>
      <c r="B274" s="1495"/>
      <c r="C274" s="1495"/>
      <c r="D274" s="275"/>
      <c r="K274" s="1034"/>
      <c r="L274" s="1495"/>
      <c r="M274" s="1495"/>
      <c r="N274" s="1034"/>
      <c r="O274" s="1034"/>
      <c r="P274" s="1034"/>
      <c r="Q274" s="1034"/>
      <c r="R274" s="1495"/>
      <c r="S274" s="1034"/>
      <c r="T274" s="1034"/>
      <c r="U274" s="471"/>
      <c r="V274" s="1034"/>
      <c r="W274" s="1034"/>
      <c r="X274" s="1034"/>
      <c r="Y274" s="1034"/>
      <c r="Z274" s="1034"/>
      <c r="AA274" s="1491"/>
      <c r="AB274" s="493"/>
      <c r="AC274" s="493"/>
      <c r="AD274" s="493"/>
      <c r="AE274" s="493"/>
    </row>
    <row r="275" spans="1:31" s="1708" customFormat="1" ht="11.25" customHeight="1">
      <c r="A275" s="880"/>
      <c r="B275" s="1495"/>
      <c r="C275" s="1495"/>
      <c r="D275" s="275"/>
      <c r="K275" s="1034"/>
      <c r="L275" s="1495"/>
      <c r="M275" s="1495"/>
      <c r="N275" s="1034"/>
      <c r="O275" s="1034"/>
      <c r="P275" s="1034"/>
      <c r="Q275" s="1034"/>
      <c r="R275" s="1495"/>
      <c r="S275" s="1034"/>
      <c r="T275" s="1034"/>
      <c r="U275" s="471"/>
      <c r="V275" s="1034"/>
      <c r="W275" s="1034"/>
      <c r="X275" s="1034"/>
      <c r="Y275" s="1034"/>
      <c r="Z275" s="1034"/>
      <c r="AA275" s="1491"/>
      <c r="AB275" s="493"/>
      <c r="AC275" s="493"/>
      <c r="AD275" s="493"/>
      <c r="AE275" s="493"/>
    </row>
    <row r="276" spans="1:31" s="1708" customFormat="1" ht="11.25" customHeight="1">
      <c r="A276" s="880"/>
      <c r="B276" s="1495"/>
      <c r="C276" s="1495"/>
      <c r="D276" s="275"/>
      <c r="K276" s="1034"/>
      <c r="L276" s="1495"/>
      <c r="M276" s="1495"/>
      <c r="N276" s="1034"/>
      <c r="O276" s="1034"/>
      <c r="P276" s="1034"/>
      <c r="Q276" s="1034"/>
      <c r="R276" s="1495"/>
      <c r="S276" s="1034"/>
      <c r="T276" s="1034"/>
      <c r="U276" s="471"/>
      <c r="V276" s="1034"/>
      <c r="W276" s="1034"/>
      <c r="X276" s="1034"/>
      <c r="Y276" s="1034"/>
      <c r="Z276" s="1034"/>
      <c r="AA276" s="1491"/>
      <c r="AB276" s="493"/>
      <c r="AC276" s="493"/>
      <c r="AD276" s="493"/>
      <c r="AE276" s="493"/>
    </row>
    <row r="277" spans="1:31" s="1708" customFormat="1" ht="11.25" customHeight="1">
      <c r="A277" s="880"/>
      <c r="B277" s="1495"/>
      <c r="C277" s="1495"/>
      <c r="D277" s="275"/>
      <c r="K277" s="1034"/>
      <c r="L277" s="1495"/>
      <c r="M277" s="1495"/>
      <c r="N277" s="1034"/>
      <c r="O277" s="1034"/>
      <c r="P277" s="1034"/>
      <c r="Q277" s="1034"/>
      <c r="R277" s="1495"/>
      <c r="S277" s="1034"/>
      <c r="T277" s="1034"/>
      <c r="U277" s="471"/>
      <c r="V277" s="1034"/>
      <c r="W277" s="1034"/>
      <c r="X277" s="1034"/>
      <c r="Y277" s="1034"/>
      <c r="Z277" s="1034"/>
      <c r="AA277" s="1491"/>
      <c r="AB277" s="493"/>
      <c r="AC277" s="493"/>
      <c r="AD277" s="493"/>
      <c r="AE277" s="493"/>
    </row>
    <row r="278" spans="1:31" s="1708" customFormat="1" ht="11.25" customHeight="1">
      <c r="A278" s="880"/>
      <c r="B278" s="1495"/>
      <c r="C278" s="1495"/>
      <c r="D278" s="275"/>
      <c r="K278" s="1034"/>
      <c r="L278" s="1495"/>
      <c r="M278" s="1495"/>
      <c r="N278" s="1034"/>
      <c r="O278" s="1034"/>
      <c r="P278" s="1034"/>
      <c r="Q278" s="1034"/>
      <c r="R278" s="1495"/>
      <c r="S278" s="1034"/>
      <c r="T278" s="1034"/>
      <c r="U278" s="471"/>
      <c r="V278" s="1034"/>
      <c r="W278" s="1034"/>
      <c r="X278" s="1034"/>
      <c r="Y278" s="1034"/>
      <c r="Z278" s="1034"/>
      <c r="AA278" s="1491"/>
      <c r="AB278" s="493"/>
      <c r="AC278" s="493"/>
      <c r="AD278" s="493"/>
      <c r="AE278" s="493"/>
    </row>
    <row r="279" spans="1:31" s="1708" customFormat="1" ht="11.25" customHeight="1">
      <c r="A279" s="880"/>
      <c r="B279" s="1495"/>
      <c r="C279" s="1495"/>
      <c r="D279" s="275"/>
      <c r="K279" s="1034"/>
      <c r="L279" s="1495"/>
      <c r="M279" s="1495"/>
      <c r="N279" s="1034"/>
      <c r="O279" s="1034"/>
      <c r="P279" s="1034"/>
      <c r="Q279" s="1034"/>
      <c r="R279" s="1495"/>
      <c r="S279" s="1034"/>
      <c r="T279" s="1034"/>
      <c r="U279" s="471"/>
      <c r="V279" s="1034"/>
      <c r="W279" s="1034"/>
      <c r="X279" s="1034"/>
      <c r="Y279" s="1034"/>
      <c r="Z279" s="1034"/>
      <c r="AA279" s="1491"/>
      <c r="AB279" s="493"/>
      <c r="AC279" s="493"/>
      <c r="AD279" s="493"/>
      <c r="AE279" s="493"/>
    </row>
    <row r="280" spans="1:31" s="1708" customFormat="1" ht="11.25" customHeight="1">
      <c r="A280" s="880"/>
      <c r="B280" s="1495"/>
      <c r="C280" s="1495"/>
      <c r="D280" s="275"/>
      <c r="K280" s="1034"/>
      <c r="L280" s="1495"/>
      <c r="M280" s="1495"/>
      <c r="N280" s="1034"/>
      <c r="O280" s="1034"/>
      <c r="P280" s="1034"/>
      <c r="Q280" s="1034"/>
      <c r="R280" s="1495"/>
      <c r="S280" s="1034"/>
      <c r="T280" s="1034"/>
      <c r="U280" s="471"/>
      <c r="V280" s="1034"/>
      <c r="W280" s="1034"/>
      <c r="X280" s="1034"/>
      <c r="Y280" s="1034"/>
      <c r="Z280" s="1034"/>
      <c r="AA280" s="1491"/>
      <c r="AB280" s="493"/>
      <c r="AC280" s="493"/>
      <c r="AD280" s="493"/>
      <c r="AE280" s="493"/>
    </row>
    <row r="281" spans="1:31" s="1708" customFormat="1" ht="11.25" customHeight="1">
      <c r="A281" s="880"/>
      <c r="B281" s="1495"/>
      <c r="C281" s="1495"/>
      <c r="D281" s="275"/>
      <c r="K281" s="1034"/>
      <c r="L281" s="1495"/>
      <c r="M281" s="1495"/>
      <c r="N281" s="1034"/>
      <c r="O281" s="1034"/>
      <c r="P281" s="1034"/>
      <c r="Q281" s="1034"/>
      <c r="R281" s="1495"/>
      <c r="S281" s="1034"/>
      <c r="T281" s="1034"/>
      <c r="U281" s="471"/>
      <c r="V281" s="1034"/>
      <c r="W281" s="1034"/>
      <c r="X281" s="1034"/>
      <c r="Y281" s="1034"/>
      <c r="Z281" s="1034"/>
      <c r="AA281" s="1491"/>
      <c r="AB281" s="493"/>
      <c r="AC281" s="493"/>
      <c r="AD281" s="493"/>
      <c r="AE281" s="493"/>
    </row>
    <row r="282" spans="1:31" s="1708" customFormat="1" ht="11.25" customHeight="1">
      <c r="A282" s="880"/>
      <c r="B282" s="1495"/>
      <c r="C282" s="1495"/>
      <c r="D282" s="275"/>
      <c r="K282" s="1034"/>
      <c r="L282" s="1495"/>
      <c r="M282" s="1495"/>
      <c r="N282" s="1034"/>
      <c r="O282" s="1034"/>
      <c r="P282" s="1034"/>
      <c r="Q282" s="1034"/>
      <c r="R282" s="1495"/>
      <c r="S282" s="1034"/>
      <c r="T282" s="1034"/>
      <c r="U282" s="471"/>
      <c r="V282" s="1034"/>
      <c r="W282" s="1034"/>
      <c r="X282" s="1034"/>
      <c r="Y282" s="1034"/>
      <c r="Z282" s="1034"/>
      <c r="AA282" s="1491"/>
      <c r="AB282" s="493"/>
      <c r="AC282" s="493"/>
      <c r="AD282" s="493"/>
      <c r="AE282" s="493"/>
    </row>
    <row r="283" spans="1:31" s="1708" customFormat="1" ht="11.25" customHeight="1">
      <c r="A283" s="880"/>
      <c r="B283" s="1495"/>
      <c r="C283" s="1495"/>
      <c r="D283" s="275"/>
      <c r="K283" s="1034"/>
      <c r="L283" s="1495"/>
      <c r="M283" s="1495"/>
      <c r="N283" s="1034"/>
      <c r="O283" s="1034"/>
      <c r="P283" s="1034"/>
      <c r="Q283" s="1034"/>
      <c r="R283" s="1495"/>
      <c r="S283" s="1034"/>
      <c r="T283" s="1034"/>
      <c r="U283" s="471"/>
      <c r="V283" s="1034"/>
      <c r="W283" s="1034"/>
      <c r="X283" s="1034"/>
      <c r="Y283" s="1034"/>
      <c r="Z283" s="1034"/>
      <c r="AA283" s="1491"/>
      <c r="AB283" s="493"/>
      <c r="AC283" s="493"/>
      <c r="AD283" s="493"/>
      <c r="AE283" s="493"/>
    </row>
    <row r="284" spans="1:31" s="1708" customFormat="1" ht="11.25" customHeight="1">
      <c r="A284" s="880"/>
      <c r="B284" s="1495"/>
      <c r="C284" s="1495"/>
      <c r="D284" s="275"/>
      <c r="K284" s="1034"/>
      <c r="L284" s="1495"/>
      <c r="M284" s="1495"/>
      <c r="N284" s="1034"/>
      <c r="O284" s="1034"/>
      <c r="P284" s="1034"/>
      <c r="Q284" s="1034"/>
      <c r="R284" s="1495"/>
      <c r="S284" s="1034"/>
      <c r="T284" s="1034"/>
      <c r="U284" s="471"/>
      <c r="V284" s="1034"/>
      <c r="W284" s="1034"/>
      <c r="X284" s="1034"/>
      <c r="Y284" s="1034"/>
      <c r="Z284" s="1034"/>
      <c r="AA284" s="1491"/>
      <c r="AB284" s="493"/>
      <c r="AC284" s="493"/>
      <c r="AD284" s="493"/>
      <c r="AE284" s="493"/>
    </row>
    <row r="285" spans="1:31" s="1708" customFormat="1" ht="11.25" customHeight="1">
      <c r="A285" s="880"/>
      <c r="B285" s="1495"/>
      <c r="C285" s="1495"/>
      <c r="D285" s="275"/>
      <c r="K285" s="1034"/>
      <c r="L285" s="1495"/>
      <c r="M285" s="1495"/>
      <c r="N285" s="1034"/>
      <c r="O285" s="1034"/>
      <c r="P285" s="1034"/>
      <c r="Q285" s="1034"/>
      <c r="R285" s="1495"/>
      <c r="S285" s="1034"/>
      <c r="T285" s="1034"/>
      <c r="U285" s="471"/>
      <c r="V285" s="1034"/>
      <c r="W285" s="1034"/>
      <c r="X285" s="1034"/>
      <c r="Y285" s="1034"/>
      <c r="Z285" s="1034"/>
      <c r="AA285" s="1491"/>
      <c r="AB285" s="493"/>
      <c r="AC285" s="493"/>
      <c r="AD285" s="493"/>
      <c r="AE285" s="493"/>
    </row>
    <row r="286" spans="1:31" s="1708" customFormat="1" ht="11.25" customHeight="1">
      <c r="A286" s="880"/>
      <c r="B286" s="1495"/>
      <c r="C286" s="1495"/>
      <c r="D286" s="275"/>
      <c r="K286" s="1034"/>
      <c r="L286" s="1495"/>
      <c r="M286" s="1495"/>
      <c r="N286" s="1034"/>
      <c r="O286" s="1034"/>
      <c r="P286" s="1034"/>
      <c r="Q286" s="1034"/>
      <c r="R286" s="1495"/>
      <c r="S286" s="1034"/>
      <c r="T286" s="1034"/>
      <c r="U286" s="471"/>
      <c r="V286" s="1034"/>
      <c r="W286" s="1034"/>
      <c r="X286" s="1034"/>
      <c r="Y286" s="1034"/>
      <c r="Z286" s="1034"/>
      <c r="AA286" s="1491"/>
      <c r="AB286" s="493"/>
      <c r="AC286" s="493"/>
      <c r="AD286" s="493"/>
      <c r="AE286" s="493"/>
    </row>
    <row r="287" spans="1:31" s="1708" customFormat="1" ht="11.25" customHeight="1">
      <c r="A287" s="880"/>
      <c r="B287" s="1495"/>
      <c r="C287" s="1495"/>
      <c r="D287" s="275"/>
      <c r="K287" s="1034"/>
      <c r="L287" s="1495"/>
      <c r="M287" s="1495"/>
      <c r="N287" s="1034"/>
      <c r="O287" s="1034"/>
      <c r="P287" s="1034"/>
      <c r="Q287" s="1034"/>
      <c r="R287" s="1495"/>
      <c r="S287" s="1034"/>
      <c r="T287" s="1034"/>
      <c r="U287" s="471"/>
      <c r="V287" s="1034"/>
      <c r="W287" s="1034"/>
      <c r="X287" s="1034"/>
      <c r="Y287" s="1034"/>
      <c r="Z287" s="1034"/>
      <c r="AA287" s="1491"/>
      <c r="AB287" s="493"/>
      <c r="AC287" s="493"/>
      <c r="AD287" s="493"/>
      <c r="AE287" s="493"/>
    </row>
    <row r="288" spans="1:31" s="1708" customFormat="1" ht="11.25" customHeight="1">
      <c r="A288" s="880"/>
      <c r="B288" s="1495"/>
      <c r="C288" s="1495"/>
      <c r="D288" s="275"/>
      <c r="K288" s="1034"/>
      <c r="L288" s="1495"/>
      <c r="M288" s="1495"/>
      <c r="N288" s="1034"/>
      <c r="O288" s="1034"/>
      <c r="P288" s="1034"/>
      <c r="Q288" s="1034"/>
      <c r="R288" s="1495"/>
      <c r="S288" s="1034"/>
      <c r="T288" s="1034"/>
      <c r="U288" s="471"/>
      <c r="V288" s="1034"/>
      <c r="W288" s="1034"/>
      <c r="X288" s="1034"/>
      <c r="Y288" s="1034"/>
      <c r="Z288" s="1034"/>
      <c r="AA288" s="1491"/>
      <c r="AB288" s="493"/>
      <c r="AC288" s="493"/>
      <c r="AD288" s="493"/>
      <c r="AE288" s="493"/>
    </row>
    <row r="289" spans="1:31" s="1708" customFormat="1" ht="11.25" customHeight="1">
      <c r="A289" s="880"/>
      <c r="B289" s="1495"/>
      <c r="C289" s="1495"/>
      <c r="D289" s="275"/>
      <c r="K289" s="1034"/>
      <c r="L289" s="1495"/>
      <c r="M289" s="1495"/>
      <c r="N289" s="1034"/>
      <c r="O289" s="1034"/>
      <c r="P289" s="1034"/>
      <c r="Q289" s="1034"/>
      <c r="R289" s="1495"/>
      <c r="S289" s="1034"/>
      <c r="T289" s="1034"/>
      <c r="U289" s="471"/>
      <c r="V289" s="1034"/>
      <c r="W289" s="1034"/>
      <c r="X289" s="1034"/>
      <c r="Y289" s="1034"/>
      <c r="Z289" s="1034"/>
      <c r="AA289" s="1491"/>
      <c r="AB289" s="493"/>
      <c r="AC289" s="493"/>
      <c r="AD289" s="493"/>
      <c r="AE289" s="493"/>
    </row>
    <row r="293" spans="1:31" ht="11.25" customHeight="1">
      <c r="A293" s="883"/>
      <c r="B293" s="1490"/>
      <c r="D293" s="1490"/>
      <c r="K293" s="1490"/>
      <c r="N293" s="1490"/>
      <c r="O293" s="1490"/>
      <c r="P293" s="1490"/>
      <c r="Q293" s="1490"/>
      <c r="S293" s="1490"/>
      <c r="T293" s="1490"/>
      <c r="U293" s="1490"/>
      <c r="V293" s="1490"/>
      <c r="W293" s="1490"/>
      <c r="X293" s="1490"/>
      <c r="Y293" s="1490"/>
      <c r="Z293" s="1490"/>
      <c r="AA293" s="1490"/>
      <c r="AB293" s="1490"/>
      <c r="AC293" s="1490"/>
      <c r="AD293" s="1490"/>
      <c r="AE293" s="1490"/>
    </row>
    <row r="294" spans="1:31" ht="11.25" customHeight="1">
      <c r="A294" s="883"/>
      <c r="B294" s="1490"/>
      <c r="D294" s="1490"/>
      <c r="K294" s="1490"/>
      <c r="N294" s="1490"/>
      <c r="O294" s="1490"/>
      <c r="P294" s="1490"/>
      <c r="Q294" s="1490"/>
      <c r="S294" s="1490"/>
      <c r="T294" s="1490"/>
      <c r="U294" s="1490"/>
      <c r="V294" s="1490"/>
      <c r="W294" s="1490"/>
      <c r="X294" s="1490"/>
      <c r="Y294" s="1490"/>
      <c r="Z294" s="1490"/>
      <c r="AA294" s="1490"/>
      <c r="AB294" s="1490"/>
      <c r="AC294" s="1490"/>
      <c r="AD294" s="1490"/>
      <c r="AE294" s="1490"/>
    </row>
    <row r="295" spans="1:31" ht="11.25" customHeight="1">
      <c r="A295" s="883"/>
      <c r="B295" s="1490"/>
      <c r="D295" s="1490"/>
      <c r="K295" s="1490"/>
      <c r="N295" s="1490"/>
      <c r="O295" s="1490"/>
      <c r="P295" s="1490"/>
      <c r="Q295" s="1490"/>
      <c r="S295" s="1490"/>
      <c r="T295" s="1490"/>
      <c r="U295" s="1490"/>
      <c r="V295" s="1490"/>
      <c r="W295" s="1490"/>
      <c r="X295" s="1490"/>
      <c r="Y295" s="1490"/>
      <c r="Z295" s="1490"/>
      <c r="AA295" s="1490"/>
      <c r="AB295" s="1490"/>
      <c r="AC295" s="1490"/>
      <c r="AD295" s="1490"/>
      <c r="AE295" s="1490"/>
    </row>
    <row r="296" spans="1:31" ht="11.25" customHeight="1">
      <c r="A296" s="883"/>
      <c r="B296" s="1490"/>
      <c r="D296" s="1490"/>
      <c r="K296" s="1490"/>
      <c r="N296" s="1490"/>
      <c r="O296" s="1490"/>
      <c r="P296" s="1490"/>
      <c r="Q296" s="1490"/>
      <c r="S296" s="1490"/>
      <c r="T296" s="1490"/>
      <c r="U296" s="1490"/>
      <c r="V296" s="1490"/>
      <c r="W296" s="1490"/>
      <c r="X296" s="1490"/>
      <c r="Y296" s="1490"/>
      <c r="Z296" s="1490"/>
      <c r="AA296" s="1490"/>
      <c r="AB296" s="1490"/>
      <c r="AC296" s="1490"/>
      <c r="AD296" s="1490"/>
      <c r="AE296" s="1490"/>
    </row>
    <row r="297" spans="1:31" ht="11.25" customHeight="1">
      <c r="A297" s="883"/>
      <c r="B297" s="1490"/>
      <c r="D297" s="1490"/>
      <c r="K297" s="1490"/>
      <c r="N297" s="1490"/>
      <c r="O297" s="1490"/>
      <c r="P297" s="1490"/>
      <c r="Q297" s="1490"/>
      <c r="S297" s="1490"/>
      <c r="T297" s="1490"/>
      <c r="U297" s="1490"/>
      <c r="V297" s="1490"/>
      <c r="W297" s="1490"/>
      <c r="X297" s="1490"/>
      <c r="Y297" s="1490"/>
      <c r="Z297" s="1490"/>
      <c r="AA297" s="1490"/>
      <c r="AB297" s="1490"/>
      <c r="AC297" s="1490"/>
      <c r="AD297" s="1490"/>
      <c r="AE297" s="1490"/>
    </row>
    <row r="298" spans="1:31" ht="11.25" customHeight="1">
      <c r="A298" s="883"/>
      <c r="B298" s="1490"/>
      <c r="D298" s="1490"/>
      <c r="K298" s="1490"/>
      <c r="N298" s="1490"/>
      <c r="O298" s="1490"/>
      <c r="P298" s="1490"/>
      <c r="Q298" s="1490"/>
      <c r="S298" s="1490"/>
      <c r="T298" s="1490"/>
      <c r="U298" s="1490"/>
      <c r="V298" s="1490"/>
      <c r="W298" s="1490"/>
      <c r="X298" s="1490"/>
      <c r="Y298" s="1490"/>
      <c r="Z298" s="1490"/>
      <c r="AA298" s="1490"/>
      <c r="AB298" s="1490"/>
      <c r="AC298" s="1490"/>
      <c r="AD298" s="1490"/>
      <c r="AE298" s="1490"/>
    </row>
    <row r="299" spans="1:31" ht="11.25" customHeight="1">
      <c r="A299" s="883"/>
      <c r="B299" s="1490"/>
      <c r="D299" s="1490"/>
      <c r="K299" s="1490"/>
      <c r="N299" s="1490"/>
      <c r="O299" s="1490"/>
      <c r="P299" s="1490"/>
      <c r="Q299" s="1490"/>
      <c r="S299" s="1490"/>
      <c r="T299" s="1490"/>
      <c r="U299" s="1490"/>
      <c r="V299" s="1490"/>
      <c r="W299" s="1490"/>
      <c r="X299" s="1490"/>
      <c r="Y299" s="1490"/>
      <c r="Z299" s="1490"/>
      <c r="AA299" s="1490"/>
      <c r="AB299" s="1490"/>
      <c r="AC299" s="1490"/>
      <c r="AD299" s="1490"/>
      <c r="AE299" s="1490"/>
    </row>
    <row r="300" spans="1:31" ht="11.25" customHeight="1">
      <c r="A300" s="883"/>
      <c r="B300" s="1490"/>
      <c r="D300" s="1490"/>
      <c r="K300" s="1490"/>
      <c r="N300" s="1490"/>
      <c r="O300" s="1490"/>
      <c r="P300" s="1490"/>
      <c r="Q300" s="1490"/>
      <c r="S300" s="1490"/>
      <c r="T300" s="1490"/>
      <c r="U300" s="1490"/>
      <c r="V300" s="1490"/>
      <c r="W300" s="1490"/>
      <c r="X300" s="1490"/>
      <c r="Y300" s="1490"/>
      <c r="Z300" s="1490"/>
      <c r="AA300" s="1490"/>
      <c r="AB300" s="1490"/>
      <c r="AC300" s="1490"/>
      <c r="AD300" s="1490"/>
      <c r="AE300" s="1490"/>
    </row>
    <row r="301" spans="1:31" ht="11.25" customHeight="1">
      <c r="A301" s="883"/>
      <c r="B301" s="1490"/>
      <c r="D301" s="1490"/>
      <c r="K301" s="1490"/>
      <c r="N301" s="1490"/>
      <c r="O301" s="1490"/>
      <c r="P301" s="1490"/>
      <c r="Q301" s="1490"/>
      <c r="S301" s="1490"/>
      <c r="T301" s="1490"/>
      <c r="U301" s="1490"/>
      <c r="V301" s="1490"/>
      <c r="W301" s="1490"/>
      <c r="X301" s="1490"/>
      <c r="Y301" s="1490"/>
      <c r="Z301" s="1490"/>
      <c r="AA301" s="1490"/>
      <c r="AB301" s="1490"/>
      <c r="AC301" s="1490"/>
      <c r="AD301" s="1490"/>
      <c r="AE301" s="1490"/>
    </row>
    <row r="302" spans="1:31" ht="11.25" customHeight="1">
      <c r="A302" s="883"/>
      <c r="B302" s="1490"/>
      <c r="D302" s="1490"/>
      <c r="K302" s="1490"/>
      <c r="N302" s="1490"/>
      <c r="O302" s="1490"/>
      <c r="P302" s="1490"/>
      <c r="Q302" s="1490"/>
      <c r="S302" s="1490"/>
      <c r="T302" s="1490"/>
      <c r="U302" s="1490"/>
      <c r="V302" s="1490"/>
      <c r="W302" s="1490"/>
      <c r="X302" s="1490"/>
      <c r="Y302" s="1490"/>
      <c r="Z302" s="1490"/>
      <c r="AA302" s="1490"/>
      <c r="AB302" s="1490"/>
      <c r="AC302" s="1490"/>
      <c r="AD302" s="1490"/>
      <c r="AE302" s="1490"/>
    </row>
    <row r="303" spans="1:31" ht="11.25" customHeight="1">
      <c r="A303" s="883"/>
      <c r="B303" s="1490"/>
      <c r="D303" s="1490"/>
      <c r="K303" s="1490"/>
      <c r="N303" s="1490"/>
      <c r="O303" s="1490"/>
      <c r="P303" s="1490"/>
      <c r="Q303" s="1490"/>
      <c r="S303" s="1490"/>
      <c r="T303" s="1490"/>
      <c r="U303" s="1490"/>
      <c r="V303" s="1490"/>
      <c r="W303" s="1490"/>
      <c r="X303" s="1490"/>
      <c r="Y303" s="1490"/>
      <c r="Z303" s="1490"/>
      <c r="AA303" s="1490"/>
      <c r="AB303" s="1490"/>
      <c r="AC303" s="1490"/>
      <c r="AD303" s="1490"/>
      <c r="AE303" s="1490"/>
    </row>
  </sheetData>
  <sheetProtection formatColumns="0" formatRows="0" insertRows="0" deleteColumns="0" deleteRows="0" sort="0" autoFilter="0"/>
  <mergeCells count="18">
    <mergeCell ref="B2:B7"/>
    <mergeCell ref="J25:J29"/>
    <mergeCell ref="F25:G25"/>
    <mergeCell ref="F26:G26"/>
    <mergeCell ref="F27:G27"/>
    <mergeCell ref="E28:G28"/>
    <mergeCell ref="A121:A131"/>
    <mergeCell ref="E21:I21"/>
    <mergeCell ref="E22:I22"/>
    <mergeCell ref="A33:A40"/>
    <mergeCell ref="B34:B39"/>
    <mergeCell ref="A41:A43"/>
    <mergeCell ref="A67:A68"/>
    <mergeCell ref="A83:A91"/>
    <mergeCell ref="A92:A96"/>
    <mergeCell ref="A97:A99"/>
    <mergeCell ref="A100:A112"/>
    <mergeCell ref="A116:A120"/>
  </mergeCells>
  <dataValidations count="12">
    <dataValidation allowBlank="1" showInputMessage="1" showErrorMessage="1" prompt="Для выбора выполните двойной щелчок левой клавиши мыши по соответствующей ячейке." sqref="H68:I68 H66:I66"/>
    <dataValidation type="decimal" allowBlank="1" showErrorMessage="1" errorTitle="Ошибка" error="Введите значение от 0 до 100%" sqref="H91:I91 H96:I96">
      <formula1>0</formula1>
      <formula2>100</formula2>
    </dataValidation>
    <dataValidation type="decimal" allowBlank="1" showErrorMessage="1" errorTitle="Ошибка" error="Допускается ввод только действительных чисел!" sqref="H124:I124 H121:I121 H127:I127 H76:I81">
      <formula1>-9.99999999999999E+37</formula1>
      <formula2>9.99999999999999E+37</formula2>
    </dataValidation>
    <dataValidation type="decimal" allowBlank="1" showErrorMessage="1" errorTitle="Ошибка" error="Допускается ввод только действительных чисел!" sqref="H73:I74">
      <formula1>-9.99999999999999E+23</formula1>
      <formula2>9.99999999999999E+23</formula2>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Мониторинг&quot;." sqref="H82:I82 H129:I131">
      <formula1>900</formula1>
    </dataValidation>
    <dataValidation type="list" allowBlank="1" showInputMessage="1" showErrorMessage="1" errorTitle="Ошибка" error="Выберите значение из списка" prompt="Выберите значение из списка" sqref="G94">
      <formula1>kind_of_volume_te_unit</formula1>
    </dataValidation>
    <dataValidation type="list" allowBlank="1" showInputMessage="1" showErrorMessage="1" errorTitle="Ошибка" error="Выберите значение из списка" prompt="Выберите значение из списка" sqref="F2">
      <formula1>kind_of_fuels</formula1>
    </dataValidation>
    <dataValidation type="textLength" operator="lessThanOrEqual" allowBlank="1" showInputMessage="1" showErrorMessage="1" errorTitle="Ошибка" error="Допускается ввод не более 900 символов!" prompt="Введите источник тепловой энергии" sqref="A1:XFD1">
      <formula1>900</formula1>
    </dataValidation>
    <dataValidation type="decimal" allowBlank="1" showErrorMessage="1" errorTitle="Ошибка" error="Допускается ввод только неотрицательных чисел!" sqref="H67:I67 H69:I69 H92:I95 H128:I128 H30:I30 H32:I33 H35:I38 H40:I65 H83:I87 H17:I17 H9:I13 H15:I15 H97:I120 H75:I75 H89:I90 H4:I6 H71 I71">
      <formula1>0</formula1>
      <formula2>9.99999999999999E+23</formula2>
    </dataValidation>
    <dataValidation type="textLength" operator="lessThanOrEqual" allowBlank="1" showInputMessage="1" showErrorMessage="1" errorTitle="Ошибка" error="Допускается ввод не более 900 символов!" sqref="G4 H34:I34 H39:I39">
      <formula1>900</formula1>
    </dataValidation>
    <dataValidation type="textLength" operator="lessThanOrEqual" allowBlank="1" showInputMessage="1" showErrorMessage="1" errorTitle="Ошибка" error="Допускается ввод не более 900 символов!" prompt="Введите наименование прочих расходов" sqref="F12 F10 I70 H70">
      <formula1>900</formula1>
    </dataValidation>
    <dataValidation type="list" allowBlank="1" showInputMessage="1" showErrorMessage="1" errorTitle="Ошибка" error="Выберите значение из списка" prompt="Выберите значение из списка" sqref="H7:I7">
      <formula1>kind_of_purchase_method</formula1>
    </dataValidation>
  </dataValidations>
  <hyperlinks>
    <hyperlink ref="I82" r:id="rId1" tooltip="https://portal.eias.ru/Portal/DownloadPage.aspx?type=12&amp;guid=aae6340c-519a-44a4-a13a-d7a6a8f11a3a"/>
  </hyperlinks>
  <pageMargins left="0.19685039370078741" right="0.19685039370078741" top="0.59055118110236227" bottom="0.39370078740157483" header="0.31496062992125984" footer="0.31496062992125984"/>
  <pageSetup paperSize="9" scale="70" orientation="landscape" r:id="rId2"/>
  <headerFooter>
    <oddHeader>&amp;L&amp;C&amp;R</oddHeader>
    <oddFooter>&amp;L&amp;C&amp;R</oddFooter>
    <evenHeader>&amp;L&amp;C&amp;R</evenHeader>
    <evenFooter>&amp;L&amp;C&amp;R</evenFooter>
  </headerFooter>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tint="-0.249977111117893"/>
  </sheetPr>
  <dimension ref="A1:CE28"/>
  <sheetViews>
    <sheetView showGridLines="0" topLeftCell="C4" zoomScale="90" workbookViewId="0"/>
  </sheetViews>
  <sheetFormatPr defaultColWidth="9.140625" defaultRowHeight="11.25" customHeight="1"/>
  <cols>
    <col min="1" max="1" width="14.7109375" style="1714" hidden="1" customWidth="1"/>
    <col min="2" max="2" width="17" style="1721" hidden="1" customWidth="1"/>
    <col min="3" max="3" width="3.7109375" style="1829" customWidth="1"/>
    <col min="4" max="4" width="1.85546875" style="1829" hidden="1" customWidth="1"/>
    <col min="5" max="6" width="7.7109375" style="1829" customWidth="1"/>
    <col min="7" max="7" width="29.7109375" style="1829" customWidth="1"/>
    <col min="8" max="8" width="3.7109375" style="1829" customWidth="1"/>
    <col min="9" max="9" width="5.42578125" style="1829" customWidth="1"/>
    <col min="10" max="10" width="24.5703125" style="1829" customWidth="1"/>
    <col min="11" max="11" width="24.42578125" style="1829" customWidth="1"/>
    <col min="12" max="12" width="3.7109375" style="1829" customWidth="1"/>
    <col min="13" max="13" width="6.28515625" style="1829" customWidth="1"/>
    <col min="14" max="14" width="25.85546875" style="1829" customWidth="1"/>
    <col min="15" max="18" width="18.7109375" style="1829" customWidth="1"/>
    <col min="19" max="19" width="93.42578125" style="1829" customWidth="1"/>
    <col min="20" max="20" width="10.5703125" style="1829" customWidth="1"/>
    <col min="21" max="21" width="10.5703125" style="1755" customWidth="1"/>
    <col min="22" max="22" width="11.7109375" style="1755" customWidth="1"/>
    <col min="23" max="27" width="10.5703125" style="1721" customWidth="1"/>
    <col min="28" max="83" width="9.140625" style="1829"/>
  </cols>
  <sheetData>
    <row r="1" spans="1:83" ht="11.25" hidden="1" customHeight="1"/>
    <row r="2" spans="1:83" ht="11.25" hidden="1" customHeight="1"/>
    <row r="3" spans="1:83" ht="11.25" hidden="1" customHeight="1"/>
    <row r="4" spans="1:83" ht="3" customHeight="1">
      <c r="C4" s="437"/>
      <c r="D4" s="437"/>
      <c r="E4" s="437"/>
      <c r="F4" s="437"/>
      <c r="G4" s="437"/>
      <c r="H4" s="437"/>
      <c r="I4" s="437"/>
      <c r="J4" s="437"/>
      <c r="K4" s="94"/>
      <c r="L4" s="94"/>
      <c r="M4" s="94"/>
    </row>
    <row r="5" spans="1:83" ht="33.75" customHeight="1">
      <c r="C5" s="437"/>
      <c r="D5" s="942"/>
      <c r="E5" s="2299" t="str">
        <f>FHD20_NAME_FORM</f>
        <v>Форма 6. Информация о расходах на капитальный и текущий ремонт основных средств, расходах на услуги производственного характера, оказываемые по договорам с организациями на проведение ремонтных работ в рамках технологического процесса</v>
      </c>
      <c r="F5" s="2299"/>
      <c r="G5" s="2299"/>
      <c r="H5" s="2299"/>
      <c r="I5" s="2299"/>
      <c r="J5" s="2299"/>
      <c r="K5" s="2299"/>
      <c r="L5" s="534"/>
      <c r="M5" s="534"/>
    </row>
    <row r="6" spans="1:83" s="1829" customFormat="1" ht="16.5" customHeight="1">
      <c r="A6" s="531"/>
      <c r="B6" s="669"/>
      <c r="C6" s="437"/>
      <c r="D6" s="943"/>
      <c r="E6" s="2099" t="str">
        <f>IF(org=0,"Не определено",org)</f>
        <v>МУП г. Астрахани "Коммунэнерго"</v>
      </c>
      <c r="F6" s="2099"/>
      <c r="G6" s="2099"/>
      <c r="H6" s="2099"/>
      <c r="I6" s="2099"/>
      <c r="J6" s="2099"/>
      <c r="K6" s="2099"/>
      <c r="L6" s="534"/>
      <c r="M6" s="534"/>
      <c r="U6" s="532"/>
      <c r="V6" s="532"/>
      <c r="W6" s="533"/>
      <c r="X6" s="669"/>
      <c r="Y6" s="669"/>
      <c r="Z6" s="669"/>
      <c r="AA6" s="669"/>
    </row>
    <row r="7" spans="1:83" ht="11.25" customHeight="1">
      <c r="C7" s="437"/>
      <c r="D7" s="437"/>
      <c r="E7" s="437"/>
      <c r="F7" s="437"/>
      <c r="G7" s="450"/>
      <c r="H7" s="450"/>
      <c r="I7" s="450"/>
      <c r="J7" s="450"/>
      <c r="K7" s="535"/>
      <c r="L7" s="535"/>
      <c r="M7" s="535"/>
      <c r="R7" s="664"/>
    </row>
    <row r="8" spans="1:83" s="1708" customFormat="1" ht="5.25" customHeight="1">
      <c r="A8" s="542"/>
      <c r="B8" s="493"/>
      <c r="C8" s="275"/>
      <c r="D8" s="275"/>
      <c r="E8" s="275"/>
      <c r="F8" s="275"/>
      <c r="G8" s="869"/>
      <c r="H8" s="869"/>
      <c r="I8" s="869"/>
      <c r="J8" s="869"/>
      <c r="K8" s="909"/>
      <c r="L8" s="909"/>
      <c r="M8" s="909"/>
      <c r="R8" s="910"/>
      <c r="U8" s="532"/>
      <c r="V8" s="532"/>
      <c r="W8" s="543"/>
      <c r="X8" s="493"/>
      <c r="Y8" s="493"/>
      <c r="Z8" s="493"/>
      <c r="AA8" s="493"/>
    </row>
    <row r="9" spans="1:83" ht="18.75" customHeight="1">
      <c r="D9" s="207"/>
      <c r="E9" s="1989" t="s">
        <v>292</v>
      </c>
      <c r="F9" s="1994"/>
      <c r="G9" s="1994"/>
      <c r="H9" s="1994"/>
      <c r="I9" s="1994"/>
      <c r="J9" s="1994"/>
      <c r="K9" s="1994"/>
      <c r="L9" s="1994"/>
      <c r="M9" s="1994"/>
      <c r="N9" s="1994"/>
      <c r="O9" s="1994"/>
      <c r="P9" s="1994"/>
      <c r="Q9" s="1994"/>
      <c r="R9" s="1988"/>
      <c r="S9" s="2007" t="s">
        <v>293</v>
      </c>
      <c r="T9" s="259"/>
    </row>
    <row r="10" spans="1:83" ht="33.75" customHeight="1">
      <c r="D10" s="478" t="s">
        <v>87</v>
      </c>
      <c r="E10" s="2007" t="s">
        <v>87</v>
      </c>
      <c r="F10" s="2007"/>
      <c r="G10" s="449" t="s">
        <v>294</v>
      </c>
      <c r="H10" s="2007" t="s">
        <v>87</v>
      </c>
      <c r="I10" s="2007"/>
      <c r="J10" s="449" t="s">
        <v>1763</v>
      </c>
      <c r="K10" s="449" t="s">
        <v>1764</v>
      </c>
      <c r="L10" s="2007" t="s">
        <v>87</v>
      </c>
      <c r="M10" s="2007"/>
      <c r="N10" s="449" t="s">
        <v>1765</v>
      </c>
      <c r="O10" s="449" t="s">
        <v>1766</v>
      </c>
      <c r="P10" s="449" t="s">
        <v>1767</v>
      </c>
      <c r="Q10" s="449" t="s">
        <v>1768</v>
      </c>
      <c r="R10" s="449" t="s">
        <v>1769</v>
      </c>
      <c r="S10" s="2007"/>
      <c r="T10" s="259"/>
    </row>
    <row r="11" spans="1:83" s="1755" customFormat="1" ht="15" hidden="1" customHeight="1">
      <c r="A11" s="938"/>
      <c r="D11" s="918" t="s">
        <v>108</v>
      </c>
      <c r="E11" s="918"/>
      <c r="F11" s="918" t="s">
        <v>109</v>
      </c>
      <c r="G11" s="918" t="s">
        <v>89</v>
      </c>
      <c r="H11" s="918"/>
      <c r="I11" s="918" t="s">
        <v>90</v>
      </c>
      <c r="J11" s="918" t="s">
        <v>110</v>
      </c>
      <c r="K11" s="918" t="s">
        <v>91</v>
      </c>
      <c r="L11" s="918"/>
      <c r="M11" s="918" t="s">
        <v>92</v>
      </c>
      <c r="N11" s="918" t="s">
        <v>111</v>
      </c>
      <c r="O11" s="918" t="s">
        <v>149</v>
      </c>
      <c r="P11" s="918" t="s">
        <v>150</v>
      </c>
      <c r="Q11" s="918" t="s">
        <v>151</v>
      </c>
      <c r="R11" s="918" t="s">
        <v>152</v>
      </c>
      <c r="S11" s="918" t="s">
        <v>153</v>
      </c>
      <c r="U11" s="532"/>
      <c r="V11" s="532"/>
      <c r="W11" s="532"/>
    </row>
    <row r="12" spans="1:83" s="1829" customFormat="1" ht="0.75" customHeight="1">
      <c r="A12" s="536"/>
      <c r="B12" s="288"/>
      <c r="D12" s="475"/>
      <c r="E12" s="270"/>
      <c r="F12" s="270"/>
      <c r="Q12" s="537"/>
      <c r="R12" s="538"/>
      <c r="T12" s="539"/>
      <c r="U12" s="540"/>
      <c r="V12" s="540"/>
      <c r="W12" s="541"/>
      <c r="X12" s="288"/>
      <c r="Y12" s="288"/>
      <c r="Z12" s="288"/>
      <c r="AA12" s="288"/>
    </row>
    <row r="13" spans="1:83" s="1708" customFormat="1" ht="0.75" customHeight="1">
      <c r="A13" s="542"/>
      <c r="B13" s="493"/>
      <c r="D13" s="475" t="s">
        <v>370</v>
      </c>
      <c r="E13" s="487"/>
      <c r="F13" s="487"/>
      <c r="G13" s="487"/>
      <c r="H13" s="487"/>
      <c r="I13" s="487"/>
      <c r="J13" s="487"/>
      <c r="K13" s="487"/>
      <c r="L13" s="487"/>
      <c r="M13" s="487"/>
      <c r="N13" s="487"/>
      <c r="O13" s="487"/>
      <c r="P13" s="487"/>
      <c r="Q13" s="487"/>
      <c r="R13" s="487"/>
      <c r="T13" s="259"/>
      <c r="U13" s="532"/>
      <c r="V13" s="532"/>
      <c r="W13" s="543"/>
      <c r="X13" s="493"/>
      <c r="Y13" s="493"/>
      <c r="Z13" s="493"/>
      <c r="AA13" s="493"/>
    </row>
    <row r="14" spans="1:83" s="1969" customFormat="1" ht="15" hidden="1" customHeight="1">
      <c r="A14" s="544" t="s">
        <v>117</v>
      </c>
      <c r="B14" s="545"/>
      <c r="C14" s="545"/>
      <c r="D14" s="2331" t="s">
        <v>108</v>
      </c>
      <c r="E14" s="2152" t="s">
        <v>104</v>
      </c>
      <c r="F14" s="2153"/>
      <c r="G14" s="2154"/>
      <c r="H14" s="2155" t="str">
        <f>IF(A14="","",INDEX(DIFFERENTIATION_UNMERGE_VD,MATCH(A14,DIFFERENTIATION_ID_DIFF,0)))</f>
        <v>Горячее водоснабжение</v>
      </c>
      <c r="I14" s="2155"/>
      <c r="J14" s="2155"/>
      <c r="K14" s="2155"/>
      <c r="L14" s="2155"/>
      <c r="M14" s="2155"/>
      <c r="N14" s="2155"/>
      <c r="O14" s="2155"/>
      <c r="P14" s="2155"/>
      <c r="Q14" s="2155"/>
      <c r="R14" s="2155"/>
      <c r="S14" s="632"/>
      <c r="T14" s="629"/>
      <c r="U14" s="546"/>
      <c r="V14" s="546"/>
      <c r="W14" s="547"/>
      <c r="X14" s="547"/>
      <c r="Y14" s="547"/>
      <c r="Z14" s="547"/>
      <c r="AA14" s="548"/>
      <c r="AB14" s="549"/>
      <c r="AC14" s="2164"/>
      <c r="AD14" s="550"/>
      <c r="AE14" s="551" t="s">
        <v>17</v>
      </c>
      <c r="AF14" s="551"/>
      <c r="AG14" s="552" t="s">
        <v>1421</v>
      </c>
      <c r="AH14" s="553">
        <v>3</v>
      </c>
      <c r="AI14" s="546"/>
      <c r="AJ14" s="546"/>
      <c r="AK14" s="546"/>
      <c r="AL14" s="546"/>
      <c r="AM14" s="546"/>
      <c r="AN14" s="546"/>
      <c r="AO14" s="546"/>
      <c r="AP14" s="546"/>
      <c r="AQ14" s="546"/>
      <c r="AR14" s="546"/>
      <c r="AS14" s="546"/>
      <c r="AT14" s="546"/>
      <c r="AU14" s="546"/>
      <c r="AV14" s="546"/>
      <c r="AW14" s="546"/>
      <c r="AX14" s="546"/>
      <c r="AY14" s="546"/>
      <c r="AZ14" s="546"/>
      <c r="BA14" s="546"/>
      <c r="BB14" s="546"/>
      <c r="BC14" s="546"/>
      <c r="BD14" s="546"/>
      <c r="BE14" s="546"/>
      <c r="BF14" s="546"/>
      <c r="BG14" s="546"/>
      <c r="BH14" s="546"/>
      <c r="BI14" s="546"/>
      <c r="BJ14" s="546"/>
      <c r="BK14" s="546"/>
      <c r="BL14" s="546"/>
      <c r="BM14" s="546"/>
      <c r="BN14" s="546"/>
      <c r="BO14" s="546"/>
      <c r="BP14" s="546"/>
      <c r="BQ14" s="546"/>
      <c r="BR14" s="546"/>
      <c r="BS14" s="546"/>
      <c r="BT14" s="546"/>
      <c r="BU14" s="546"/>
      <c r="BV14" s="547"/>
      <c r="BW14" s="547"/>
      <c r="BX14" s="547"/>
      <c r="BY14" s="547"/>
      <c r="BZ14" s="547"/>
      <c r="CA14" s="547"/>
      <c r="CB14" s="547"/>
      <c r="CC14" s="547"/>
      <c r="CD14" s="547"/>
      <c r="CE14" s="547"/>
    </row>
    <row r="15" spans="1:83" s="1969" customFormat="1" ht="15" hidden="1" customHeight="1">
      <c r="A15" s="544"/>
      <c r="B15" s="545"/>
      <c r="C15" s="545"/>
      <c r="D15" s="2332"/>
      <c r="E15" s="2152" t="s">
        <v>1422</v>
      </c>
      <c r="F15" s="2153"/>
      <c r="G15" s="2154"/>
      <c r="H15" s="2155" t="str">
        <f>IF(A14="","",INDEX(DIFFERENTIATION_UNMERGE_AREA,MATCH(A14,DIFFERENTIATION_ID_DIFF,0)))</f>
        <v>без дифференциации</v>
      </c>
      <c r="I15" s="2155"/>
      <c r="J15" s="2155"/>
      <c r="K15" s="2155"/>
      <c r="L15" s="2155"/>
      <c r="M15" s="2155"/>
      <c r="N15" s="2155"/>
      <c r="O15" s="2155"/>
      <c r="P15" s="2155"/>
      <c r="Q15" s="2155"/>
      <c r="R15" s="2155"/>
      <c r="S15" s="632"/>
      <c r="T15" s="629"/>
      <c r="U15" s="546"/>
      <c r="V15" s="546"/>
      <c r="W15" s="547"/>
      <c r="X15" s="547"/>
      <c r="Y15" s="547"/>
      <c r="Z15" s="547"/>
      <c r="AA15" s="548"/>
      <c r="AB15" s="549"/>
      <c r="AC15" s="2164"/>
      <c r="AD15" s="550"/>
      <c r="AE15" s="551"/>
      <c r="AF15" s="551"/>
      <c r="AG15" s="552"/>
      <c r="AH15" s="553"/>
      <c r="AI15" s="546"/>
      <c r="AJ15" s="546"/>
      <c r="AK15" s="546"/>
      <c r="AL15" s="546"/>
      <c r="AM15" s="546"/>
      <c r="AN15" s="546"/>
      <c r="AO15" s="546"/>
      <c r="AP15" s="546"/>
      <c r="AQ15" s="546"/>
      <c r="AR15" s="546"/>
      <c r="AS15" s="546"/>
      <c r="AT15" s="546"/>
      <c r="AU15" s="546"/>
      <c r="AV15" s="546"/>
      <c r="AW15" s="546"/>
      <c r="AX15" s="546"/>
      <c r="AY15" s="546"/>
      <c r="AZ15" s="546"/>
      <c r="BA15" s="546"/>
      <c r="BB15" s="546"/>
      <c r="BC15" s="546"/>
      <c r="BD15" s="546"/>
      <c r="BE15" s="546"/>
      <c r="BF15" s="546"/>
      <c r="BG15" s="546"/>
      <c r="BH15" s="546"/>
      <c r="BI15" s="546"/>
      <c r="BJ15" s="546"/>
      <c r="BK15" s="546"/>
      <c r="BL15" s="546"/>
      <c r="BM15" s="546"/>
      <c r="BN15" s="546"/>
      <c r="BO15" s="546"/>
      <c r="BP15" s="546"/>
      <c r="BQ15" s="546"/>
      <c r="BR15" s="546"/>
      <c r="BS15" s="546"/>
      <c r="BT15" s="546"/>
      <c r="BU15" s="546"/>
      <c r="BV15" s="547"/>
      <c r="BW15" s="547"/>
      <c r="BX15" s="547"/>
      <c r="BY15" s="547"/>
      <c r="BZ15" s="547"/>
      <c r="CA15" s="547"/>
      <c r="CB15" s="547"/>
      <c r="CC15" s="547"/>
      <c r="CD15" s="547"/>
      <c r="CE15" s="547"/>
    </row>
    <row r="16" spans="1:83" s="1969" customFormat="1" ht="15" hidden="1" customHeight="1">
      <c r="A16" s="544"/>
      <c r="B16" s="545"/>
      <c r="C16" s="545"/>
      <c r="D16" s="2332"/>
      <c r="E16" s="2152" t="s">
        <v>1423</v>
      </c>
      <c r="F16" s="2153"/>
      <c r="G16" s="2154"/>
      <c r="H16" s="2155" t="str">
        <f>IF(A14="","",INDEX(DIFFERENTIATION_UNMERGE_SYSTEM,MATCH(A14,DIFFERENTIATION_ID_DIFF,0)))</f>
        <v>Котельная № Т-29</v>
      </c>
      <c r="I16" s="2155"/>
      <c r="J16" s="2155"/>
      <c r="K16" s="2155"/>
      <c r="L16" s="2155"/>
      <c r="M16" s="2155"/>
      <c r="N16" s="2155"/>
      <c r="O16" s="2155"/>
      <c r="P16" s="2155"/>
      <c r="Q16" s="2155"/>
      <c r="R16" s="2155"/>
      <c r="S16" s="632"/>
      <c r="T16" s="629"/>
      <c r="U16" s="546"/>
      <c r="V16" s="546"/>
      <c r="W16" s="547"/>
      <c r="X16" s="547"/>
      <c r="Y16" s="547"/>
      <c r="Z16" s="547"/>
      <c r="AA16" s="548"/>
      <c r="AB16" s="549"/>
      <c r="AC16" s="2164"/>
      <c r="AD16" s="550"/>
      <c r="AE16" s="551"/>
      <c r="AF16" s="551"/>
      <c r="AG16" s="552"/>
      <c r="AH16" s="553"/>
      <c r="AI16" s="546"/>
      <c r="AJ16" s="546"/>
      <c r="AK16" s="546"/>
      <c r="AL16" s="546"/>
      <c r="AM16" s="546"/>
      <c r="AN16" s="546"/>
      <c r="AO16" s="546"/>
      <c r="AP16" s="546"/>
      <c r="AQ16" s="546"/>
      <c r="AR16" s="546"/>
      <c r="AS16" s="546"/>
      <c r="AT16" s="546"/>
      <c r="AU16" s="546"/>
      <c r="AV16" s="546"/>
      <c r="AW16" s="546"/>
      <c r="AX16" s="546"/>
      <c r="AY16" s="546"/>
      <c r="AZ16" s="546"/>
      <c r="BA16" s="546"/>
      <c r="BB16" s="546"/>
      <c r="BC16" s="546"/>
      <c r="BD16" s="546"/>
      <c r="BE16" s="546"/>
      <c r="BF16" s="546"/>
      <c r="BG16" s="546"/>
      <c r="BH16" s="546"/>
      <c r="BI16" s="546"/>
      <c r="BJ16" s="546"/>
      <c r="BK16" s="546"/>
      <c r="BL16" s="546"/>
      <c r="BM16" s="546"/>
      <c r="BN16" s="546"/>
      <c r="BO16" s="546"/>
      <c r="BP16" s="546"/>
      <c r="BQ16" s="546"/>
      <c r="BR16" s="546"/>
      <c r="BS16" s="546"/>
      <c r="BT16" s="546"/>
      <c r="BU16" s="546"/>
      <c r="BV16" s="547"/>
      <c r="BW16" s="547"/>
      <c r="BX16" s="547"/>
      <c r="BY16" s="547"/>
      <c r="BZ16" s="547"/>
      <c r="CA16" s="547"/>
      <c r="CB16" s="547"/>
      <c r="CC16" s="547"/>
      <c r="CD16" s="547"/>
      <c r="CE16" s="547"/>
    </row>
    <row r="17" spans="1:83" s="1969" customFormat="1" ht="22.5" hidden="1" customHeight="1">
      <c r="A17" s="554"/>
      <c r="B17" s="352"/>
      <c r="C17" s="347"/>
      <c r="D17" s="2332"/>
      <c r="E17" s="2170" t="s">
        <v>1424</v>
      </c>
      <c r="F17" s="2170"/>
      <c r="G17" s="2170"/>
      <c r="H17" s="2170"/>
      <c r="I17" s="2170"/>
      <c r="J17" s="2170"/>
      <c r="K17" s="2170"/>
      <c r="L17" s="2170"/>
      <c r="M17" s="2170"/>
      <c r="N17" s="2170"/>
      <c r="O17" s="2170"/>
      <c r="P17" s="2170"/>
      <c r="Q17" s="485">
        <f>SUMIF(T18:T19,"i",Q18:Q19)</f>
        <v>0</v>
      </c>
      <c r="R17" s="908"/>
      <c r="S17" s="795" t="s">
        <v>1425</v>
      </c>
      <c r="T17" s="630" t="s">
        <v>1426</v>
      </c>
      <c r="U17" s="2143">
        <v>1</v>
      </c>
      <c r="V17" s="2143" t="str">
        <f>INDEX(B_FHD_FLAG_INDEX_1,1,MATCH(A14,B_FHD_FLAG_DIFFERENTIATION,0))</f>
        <v>отсутствует</v>
      </c>
      <c r="W17" s="352"/>
      <c r="X17" s="352"/>
      <c r="Y17" s="352"/>
      <c r="Z17" s="352"/>
      <c r="AA17" s="439"/>
      <c r="AB17" s="352"/>
      <c r="AC17" s="2164"/>
      <c r="AD17" s="550"/>
      <c r="AE17" s="352"/>
      <c r="AF17" s="352"/>
      <c r="AG17" s="439"/>
      <c r="AH17" s="439"/>
      <c r="AI17" s="439"/>
      <c r="AJ17" s="439"/>
      <c r="AK17" s="439"/>
      <c r="AL17" s="439"/>
      <c r="AM17" s="439"/>
      <c r="AN17" s="439"/>
      <c r="AO17" s="439"/>
      <c r="AP17" s="439"/>
      <c r="AQ17" s="439"/>
      <c r="AR17" s="439"/>
      <c r="AS17" s="439"/>
      <c r="AT17" s="439"/>
      <c r="AU17" s="439"/>
      <c r="AV17" s="439"/>
      <c r="AW17" s="439"/>
      <c r="AX17" s="439"/>
      <c r="AY17" s="439"/>
      <c r="AZ17" s="439"/>
      <c r="BA17" s="439"/>
      <c r="BB17" s="439"/>
      <c r="BC17" s="439"/>
      <c r="BD17" s="439"/>
      <c r="BE17" s="439"/>
      <c r="BF17" s="439"/>
      <c r="BG17" s="439"/>
      <c r="BH17" s="439"/>
      <c r="BI17" s="439"/>
      <c r="BJ17" s="439"/>
      <c r="BK17" s="439"/>
      <c r="BL17" s="439"/>
      <c r="BM17" s="439"/>
      <c r="BN17" s="439"/>
      <c r="BO17" s="439"/>
      <c r="BP17" s="439"/>
      <c r="BQ17" s="439"/>
      <c r="BR17" s="439"/>
      <c r="BS17" s="439"/>
      <c r="BT17" s="439"/>
      <c r="BU17" s="439"/>
      <c r="BV17" s="352"/>
      <c r="BW17" s="352"/>
      <c r="BX17" s="352"/>
      <c r="BY17" s="352"/>
      <c r="BZ17" s="352"/>
      <c r="CA17" s="352"/>
      <c r="CB17" s="352"/>
      <c r="CC17" s="352"/>
      <c r="CD17" s="352"/>
      <c r="CE17" s="352"/>
    </row>
    <row r="18" spans="1:83" s="1969" customFormat="1" ht="11.25" hidden="1" customHeight="1">
      <c r="A18" s="555"/>
      <c r="B18" s="439"/>
      <c r="C18" s="439"/>
      <c r="D18" s="2332"/>
      <c r="E18" s="556"/>
      <c r="F18" s="556">
        <v>0</v>
      </c>
      <c r="G18" s="556"/>
      <c r="H18" s="556"/>
      <c r="I18" s="556"/>
      <c r="J18" s="556"/>
      <c r="K18" s="556"/>
      <c r="L18" s="556"/>
      <c r="M18" s="556"/>
      <c r="N18" s="556"/>
      <c r="O18" s="556"/>
      <c r="P18" s="556"/>
      <c r="Q18" s="556"/>
      <c r="R18" s="556"/>
      <c r="S18" s="557"/>
      <c r="T18" s="631"/>
      <c r="U18" s="2143"/>
      <c r="V18" s="2143"/>
      <c r="W18" s="439"/>
      <c r="X18" s="439"/>
      <c r="Y18" s="439"/>
      <c r="Z18" s="439"/>
      <c r="AA18" s="439"/>
      <c r="AB18" s="352"/>
      <c r="AC18" s="2164"/>
      <c r="AD18" s="550"/>
      <c r="AE18" s="352"/>
      <c r="AF18" s="352"/>
      <c r="AG18" s="439"/>
      <c r="AH18" s="439"/>
      <c r="AI18" s="439"/>
      <c r="AJ18" s="439"/>
      <c r="AK18" s="439"/>
      <c r="AL18" s="439"/>
      <c r="AM18" s="439"/>
      <c r="AN18" s="439"/>
      <c r="AO18" s="439"/>
      <c r="AP18" s="439"/>
      <c r="AQ18" s="439"/>
      <c r="AR18" s="439"/>
      <c r="AS18" s="439"/>
      <c r="AT18" s="439"/>
      <c r="AU18" s="439"/>
      <c r="AV18" s="439"/>
      <c r="AW18" s="439"/>
      <c r="AX18" s="439"/>
      <c r="AY18" s="439"/>
      <c r="AZ18" s="439"/>
      <c r="BA18" s="439"/>
      <c r="BB18" s="439"/>
      <c r="BC18" s="439"/>
      <c r="BD18" s="439"/>
      <c r="BE18" s="439"/>
      <c r="BF18" s="439"/>
      <c r="BG18" s="439"/>
      <c r="BH18" s="439"/>
      <c r="BI18" s="439"/>
      <c r="BJ18" s="439"/>
      <c r="BK18" s="439"/>
      <c r="BL18" s="439"/>
      <c r="BM18" s="439"/>
      <c r="BN18" s="439"/>
      <c r="BO18" s="439"/>
      <c r="BP18" s="439"/>
      <c r="BQ18" s="439"/>
      <c r="BR18" s="439"/>
      <c r="BS18" s="439"/>
      <c r="BT18" s="439"/>
      <c r="BU18" s="439"/>
      <c r="BV18" s="439"/>
      <c r="BW18" s="439"/>
      <c r="BX18" s="439"/>
      <c r="BY18" s="439"/>
      <c r="BZ18" s="439"/>
      <c r="CA18" s="439"/>
      <c r="CB18" s="439"/>
      <c r="CC18" s="439"/>
      <c r="CD18" s="439"/>
      <c r="CE18" s="439"/>
    </row>
    <row r="19" spans="1:83" s="1969" customFormat="1" ht="11.25" hidden="1" customHeight="1">
      <c r="A19" s="554"/>
      <c r="B19" s="352"/>
      <c r="C19" s="347"/>
      <c r="D19" s="2332"/>
      <c r="E19" s="565" t="s">
        <v>17</v>
      </c>
      <c r="F19" s="566" t="s">
        <v>17</v>
      </c>
      <c r="G19" s="566" t="s">
        <v>17</v>
      </c>
      <c r="H19" s="567" t="s">
        <v>17</v>
      </c>
      <c r="I19" s="567"/>
      <c r="J19" s="567"/>
      <c r="K19" s="567"/>
      <c r="L19" s="567"/>
      <c r="M19" s="567"/>
      <c r="N19" s="567"/>
      <c r="O19" s="567"/>
      <c r="P19" s="567"/>
      <c r="Q19" s="567"/>
      <c r="R19" s="568"/>
      <c r="S19" s="911"/>
      <c r="T19" s="631"/>
      <c r="U19" s="2143"/>
      <c r="V19" s="2143"/>
      <c r="W19" s="352"/>
      <c r="X19" s="352"/>
      <c r="Y19" s="352"/>
      <c r="Z19" s="352"/>
      <c r="AA19" s="439"/>
      <c r="AB19" s="352"/>
      <c r="AC19" s="2164"/>
      <c r="AD19" s="550"/>
      <c r="AE19" s="352"/>
      <c r="AF19" s="352"/>
      <c r="AG19" s="439"/>
      <c r="AH19" s="439"/>
      <c r="AI19" s="439"/>
      <c r="AJ19" s="439"/>
      <c r="AK19" s="439"/>
      <c r="AL19" s="439"/>
      <c r="AM19" s="439"/>
      <c r="AN19" s="439"/>
      <c r="AO19" s="439"/>
      <c r="AP19" s="439"/>
      <c r="AQ19" s="439"/>
      <c r="AR19" s="439"/>
      <c r="AS19" s="439"/>
      <c r="AT19" s="439"/>
      <c r="AU19" s="439"/>
      <c r="AV19" s="439"/>
      <c r="AW19" s="439"/>
      <c r="AX19" s="439"/>
      <c r="AY19" s="439"/>
      <c r="AZ19" s="439"/>
      <c r="BA19" s="439"/>
      <c r="BB19" s="439"/>
      <c r="BC19" s="439"/>
      <c r="BD19" s="439"/>
      <c r="BE19" s="439"/>
      <c r="BF19" s="439"/>
      <c r="BG19" s="439"/>
      <c r="BH19" s="439"/>
      <c r="BI19" s="439"/>
      <c r="BJ19" s="439"/>
      <c r="BK19" s="439"/>
      <c r="BL19" s="439"/>
      <c r="BM19" s="439"/>
      <c r="BN19" s="439"/>
      <c r="BO19" s="439"/>
      <c r="BP19" s="439"/>
      <c r="BQ19" s="439"/>
      <c r="BR19" s="439"/>
      <c r="BS19" s="439"/>
      <c r="BT19" s="439"/>
      <c r="BU19" s="439"/>
      <c r="BV19" s="352"/>
      <c r="BW19" s="352"/>
      <c r="BX19" s="352"/>
      <c r="BY19" s="352"/>
      <c r="BZ19" s="352"/>
      <c r="CA19" s="352"/>
      <c r="CB19" s="352"/>
      <c r="CC19" s="352"/>
      <c r="CD19" s="352"/>
      <c r="CE19" s="352"/>
    </row>
    <row r="20" spans="1:83" s="1969" customFormat="1" ht="22.5" hidden="1" customHeight="1">
      <c r="A20" s="554"/>
      <c r="B20" s="352"/>
      <c r="C20" s="347"/>
      <c r="D20" s="2332"/>
      <c r="E20" s="2170" t="s">
        <v>1429</v>
      </c>
      <c r="F20" s="2170"/>
      <c r="G20" s="2170"/>
      <c r="H20" s="2170"/>
      <c r="I20" s="2170"/>
      <c r="J20" s="2170"/>
      <c r="K20" s="2170"/>
      <c r="L20" s="2170"/>
      <c r="M20" s="2170"/>
      <c r="N20" s="2170"/>
      <c r="O20" s="2170"/>
      <c r="P20" s="2170"/>
      <c r="Q20" s="485">
        <f>SUMIF(T21:T22,"i",Q21:Q22)</f>
        <v>0</v>
      </c>
      <c r="R20" s="908"/>
      <c r="S20" s="622" t="s">
        <v>1430</v>
      </c>
      <c r="T20" s="630" t="s">
        <v>1426</v>
      </c>
      <c r="U20" s="2143">
        <v>2</v>
      </c>
      <c r="V20" s="2143" t="str">
        <f>INDEX(B_FHD_FLAG_INDEX_2,1,MATCH(A14,B_FHD_FLAG_DIFFERENTIATION,0))</f>
        <v>отсутствует</v>
      </c>
      <c r="W20" s="352"/>
      <c r="X20" s="352"/>
      <c r="Y20" s="352"/>
      <c r="Z20" s="352"/>
      <c r="AA20" s="439"/>
      <c r="AB20" s="352"/>
      <c r="AC20" s="619"/>
      <c r="AD20" s="550"/>
      <c r="AE20" s="352"/>
      <c r="AF20" s="352"/>
      <c r="AG20" s="439"/>
      <c r="AH20" s="439"/>
      <c r="AI20" s="439"/>
      <c r="AJ20" s="439"/>
      <c r="AK20" s="439"/>
      <c r="AL20" s="439"/>
      <c r="AM20" s="439"/>
      <c r="AN20" s="439"/>
      <c r="AO20" s="439"/>
      <c r="AP20" s="439"/>
      <c r="AQ20" s="439"/>
      <c r="AR20" s="439"/>
      <c r="AS20" s="439"/>
      <c r="AT20" s="439"/>
      <c r="AU20" s="439"/>
      <c r="AV20" s="439"/>
      <c r="AW20" s="439"/>
      <c r="AX20" s="439"/>
      <c r="AY20" s="439"/>
      <c r="AZ20" s="439"/>
      <c r="BA20" s="439"/>
      <c r="BB20" s="439"/>
      <c r="BC20" s="439"/>
      <c r="BD20" s="439"/>
      <c r="BE20" s="439"/>
      <c r="BF20" s="439"/>
      <c r="BG20" s="439"/>
      <c r="BH20" s="439"/>
      <c r="BI20" s="439"/>
      <c r="BJ20" s="439"/>
      <c r="BK20" s="439"/>
      <c r="BL20" s="439"/>
      <c r="BM20" s="439"/>
      <c r="BN20" s="439"/>
      <c r="BO20" s="439"/>
      <c r="BP20" s="439"/>
      <c r="BQ20" s="439"/>
      <c r="BR20" s="439"/>
      <c r="BS20" s="439"/>
      <c r="BT20" s="439"/>
      <c r="BU20" s="439"/>
      <c r="BV20" s="352"/>
      <c r="BW20" s="352"/>
      <c r="BX20" s="352"/>
      <c r="BY20" s="352"/>
      <c r="BZ20" s="352"/>
      <c r="CA20" s="352"/>
      <c r="CB20" s="352"/>
      <c r="CC20" s="352"/>
      <c r="CD20" s="352"/>
      <c r="CE20" s="352"/>
    </row>
    <row r="21" spans="1:83" s="1969" customFormat="1" ht="11.25" hidden="1" customHeight="1">
      <c r="A21" s="621"/>
      <c r="B21" s="439"/>
      <c r="C21" s="439"/>
      <c r="D21" s="2332"/>
      <c r="E21" s="556"/>
      <c r="F21" s="556">
        <v>0</v>
      </c>
      <c r="G21" s="556"/>
      <c r="H21" s="556"/>
      <c r="I21" s="556"/>
      <c r="J21" s="556"/>
      <c r="K21" s="556"/>
      <c r="L21" s="556"/>
      <c r="M21" s="556"/>
      <c r="N21" s="556"/>
      <c r="O21" s="556"/>
      <c r="P21" s="556"/>
      <c r="Q21" s="556"/>
      <c r="R21" s="556"/>
      <c r="S21" s="557"/>
      <c r="T21" s="631"/>
      <c r="U21" s="2143"/>
      <c r="V21" s="2143"/>
      <c r="W21" s="439"/>
      <c r="X21" s="439"/>
      <c r="Y21" s="439"/>
      <c r="Z21" s="439"/>
      <c r="AA21" s="439"/>
      <c r="AB21" s="352"/>
      <c r="AC21" s="619"/>
      <c r="AD21" s="550"/>
      <c r="AE21" s="352"/>
      <c r="AF21" s="352"/>
      <c r="AG21" s="439"/>
      <c r="AH21" s="439"/>
      <c r="AI21" s="439"/>
      <c r="AJ21" s="439"/>
      <c r="AK21" s="439"/>
      <c r="AL21" s="439"/>
      <c r="AM21" s="439"/>
      <c r="AN21" s="439"/>
      <c r="AO21" s="439"/>
      <c r="AP21" s="439"/>
      <c r="AQ21" s="439"/>
      <c r="AR21" s="439"/>
      <c r="AS21" s="439"/>
      <c r="AT21" s="439"/>
      <c r="AU21" s="439"/>
      <c r="AV21" s="439"/>
      <c r="AW21" s="439"/>
      <c r="AX21" s="439"/>
      <c r="AY21" s="439"/>
      <c r="AZ21" s="439"/>
      <c r="BA21" s="439"/>
      <c r="BB21" s="439"/>
      <c r="BC21" s="439"/>
      <c r="BD21" s="439"/>
      <c r="BE21" s="439"/>
      <c r="BF21" s="439"/>
      <c r="BG21" s="439"/>
      <c r="BH21" s="439"/>
      <c r="BI21" s="439"/>
      <c r="BJ21" s="439"/>
      <c r="BK21" s="439"/>
      <c r="BL21" s="439"/>
      <c r="BM21" s="439"/>
      <c r="BN21" s="439"/>
      <c r="BO21" s="439"/>
      <c r="BP21" s="439"/>
      <c r="BQ21" s="439"/>
      <c r="BR21" s="439"/>
      <c r="BS21" s="439"/>
      <c r="BT21" s="439"/>
      <c r="BU21" s="439"/>
      <c r="BV21" s="439"/>
      <c r="BW21" s="439"/>
      <c r="BX21" s="439"/>
      <c r="BY21" s="439"/>
      <c r="BZ21" s="439"/>
      <c r="CA21" s="439"/>
      <c r="CB21" s="439"/>
      <c r="CC21" s="439"/>
      <c r="CD21" s="439"/>
      <c r="CE21" s="439"/>
    </row>
    <row r="22" spans="1:83" s="1969" customFormat="1" ht="11.25" hidden="1" customHeight="1">
      <c r="A22" s="554"/>
      <c r="B22" s="352"/>
      <c r="C22" s="347"/>
      <c r="D22" s="2333"/>
      <c r="E22" s="565" t="s">
        <v>17</v>
      </c>
      <c r="F22" s="566" t="s">
        <v>17</v>
      </c>
      <c r="G22" s="566" t="s">
        <v>17</v>
      </c>
      <c r="H22" s="567" t="s">
        <v>17</v>
      </c>
      <c r="I22" s="567"/>
      <c r="J22" s="567"/>
      <c r="K22" s="567"/>
      <c r="L22" s="567"/>
      <c r="M22" s="567"/>
      <c r="N22" s="567"/>
      <c r="O22" s="567"/>
      <c r="P22" s="567"/>
      <c r="Q22" s="567"/>
      <c r="R22" s="568"/>
      <c r="S22" s="911"/>
      <c r="T22" s="631"/>
      <c r="U22" s="2143"/>
      <c r="V22" s="2143"/>
      <c r="W22" s="352"/>
      <c r="X22" s="352"/>
      <c r="Y22" s="352"/>
      <c r="Z22" s="352"/>
      <c r="AA22" s="439"/>
      <c r="AB22" s="352"/>
      <c r="AC22" s="619"/>
      <c r="AD22" s="550"/>
      <c r="AE22" s="352"/>
      <c r="AF22" s="352"/>
      <c r="AG22" s="439"/>
      <c r="AH22" s="439"/>
      <c r="AI22" s="439"/>
      <c r="AJ22" s="439"/>
      <c r="AK22" s="439"/>
      <c r="AL22" s="439"/>
      <c r="AM22" s="439"/>
      <c r="AN22" s="439"/>
      <c r="AO22" s="439"/>
      <c r="AP22" s="439"/>
      <c r="AQ22" s="439"/>
      <c r="AR22" s="439"/>
      <c r="AS22" s="439"/>
      <c r="AT22" s="439"/>
      <c r="AU22" s="439"/>
      <c r="AV22" s="439"/>
      <c r="AW22" s="439"/>
      <c r="AX22" s="439"/>
      <c r="AY22" s="439"/>
      <c r="AZ22" s="439"/>
      <c r="BA22" s="439"/>
      <c r="BB22" s="439"/>
      <c r="BC22" s="439"/>
      <c r="BD22" s="439"/>
      <c r="BE22" s="439"/>
      <c r="BF22" s="439"/>
      <c r="BG22" s="439"/>
      <c r="BH22" s="439"/>
      <c r="BI22" s="439"/>
      <c r="BJ22" s="439"/>
      <c r="BK22" s="439"/>
      <c r="BL22" s="439"/>
      <c r="BM22" s="439"/>
      <c r="BN22" s="439"/>
      <c r="BO22" s="439"/>
      <c r="BP22" s="439"/>
      <c r="BQ22" s="439"/>
      <c r="BR22" s="439"/>
      <c r="BS22" s="439"/>
      <c r="BT22" s="439"/>
      <c r="BU22" s="439"/>
      <c r="BV22" s="352"/>
      <c r="BW22" s="352"/>
      <c r="BX22" s="352"/>
      <c r="BY22" s="352"/>
      <c r="BZ22" s="352"/>
      <c r="CA22" s="352"/>
      <c r="CB22" s="352"/>
      <c r="CC22" s="352"/>
      <c r="CD22" s="352"/>
      <c r="CE22" s="352"/>
    </row>
    <row r="23" spans="1:83" ht="18.75" customHeight="1">
      <c r="D23" s="933"/>
      <c r="E23" s="933"/>
      <c r="F23" s="933"/>
      <c r="G23" s="933"/>
      <c r="H23" s="933"/>
      <c r="I23" s="933"/>
      <c r="J23" s="933"/>
      <c r="K23" s="933"/>
      <c r="L23" s="933"/>
      <c r="M23" s="933"/>
      <c r="N23" s="933"/>
      <c r="O23" s="933"/>
      <c r="P23" s="933"/>
      <c r="Q23" s="933"/>
      <c r="R23" s="933"/>
      <c r="S23" s="933"/>
      <c r="T23" s="259"/>
    </row>
    <row r="24" spans="1:83" ht="11.25" customHeight="1">
      <c r="D24" s="437"/>
    </row>
    <row r="25" spans="1:83" ht="11.25" customHeight="1">
      <c r="D25" s="569"/>
      <c r="E25" s="569"/>
      <c r="F25" s="569"/>
      <c r="G25" s="570"/>
    </row>
    <row r="27" spans="1:83" ht="11.25" customHeight="1">
      <c r="D27" s="571"/>
      <c r="E27" s="2334"/>
      <c r="F27" s="2334"/>
      <c r="G27" s="2334"/>
      <c r="H27" s="2334"/>
      <c r="I27" s="2334"/>
      <c r="J27" s="2334"/>
      <c r="K27" s="2334"/>
      <c r="L27" s="2334"/>
      <c r="M27" s="2334"/>
      <c r="N27" s="2334"/>
      <c r="O27" s="2334"/>
      <c r="P27" s="2334"/>
      <c r="Q27" s="2334"/>
      <c r="R27" s="2334"/>
    </row>
    <row r="28" spans="1:83" ht="11.25" customHeight="1">
      <c r="F28" s="668"/>
      <c r="G28" s="668"/>
    </row>
  </sheetData>
  <sheetProtection formatColumns="0" formatRows="0" insertRows="0" deleteColumns="0" deleteRows="0" sort="0" autoFilter="0"/>
  <mergeCells count="22">
    <mergeCell ref="U20:U22"/>
    <mergeCell ref="V20:V22"/>
    <mergeCell ref="AC14:AC19"/>
    <mergeCell ref="E17:P17"/>
    <mergeCell ref="U17:U19"/>
    <mergeCell ref="V17:V19"/>
    <mergeCell ref="E14:G14"/>
    <mergeCell ref="E15:G15"/>
    <mergeCell ref="E16:G16"/>
    <mergeCell ref="D14:D22"/>
    <mergeCell ref="H14:R14"/>
    <mergeCell ref="H15:R15"/>
    <mergeCell ref="H16:R16"/>
    <mergeCell ref="E27:R27"/>
    <mergeCell ref="E20:P20"/>
    <mergeCell ref="E5:K5"/>
    <mergeCell ref="E6:K6"/>
    <mergeCell ref="E9:R9"/>
    <mergeCell ref="S9:S10"/>
    <mergeCell ref="E10:F10"/>
    <mergeCell ref="H10:I10"/>
    <mergeCell ref="L10:M10"/>
  </mergeCells>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tint="-0.249977111117893"/>
  </sheetPr>
  <dimension ref="A1:AE218"/>
  <sheetViews>
    <sheetView showGridLines="0" topLeftCell="D5" zoomScale="90" workbookViewId="0"/>
  </sheetViews>
  <sheetFormatPr defaultColWidth="9.140625" defaultRowHeight="11.25" customHeight="1"/>
  <cols>
    <col min="1" max="1" width="10.7109375" style="1706" hidden="1" customWidth="1"/>
    <col min="2" max="2" width="16.85546875" style="1742" hidden="1" customWidth="1"/>
    <col min="3" max="3" width="5.5703125" style="1755" hidden="1" customWidth="1"/>
    <col min="4" max="4" width="3.7109375" style="1829" customWidth="1"/>
    <col min="5" max="5" width="7.7109375" style="1829" customWidth="1"/>
    <col min="6" max="6" width="56.140625" style="1829" customWidth="1"/>
    <col min="7" max="7" width="10.42578125" style="1829" customWidth="1"/>
    <col min="8" max="8" width="40.7109375" style="1829" hidden="1" customWidth="1"/>
    <col min="9" max="9" width="40.7109375" style="1829" customWidth="1"/>
    <col min="10" max="10" width="102.85546875" style="1829" customWidth="1"/>
    <col min="11" max="11" width="9.7109375" style="1742" customWidth="1"/>
    <col min="12" max="12" width="5.28515625" style="1755" customWidth="1"/>
    <col min="13" max="13" width="3.7109375" style="1755" customWidth="1"/>
    <col min="14" max="17" width="3.7109375" style="1742" customWidth="1"/>
    <col min="18" max="18" width="10.5703125" style="1755" customWidth="1"/>
    <col min="19" max="19" width="34.7109375" style="1742" customWidth="1"/>
    <col min="20" max="20" width="9.42578125" style="1742" customWidth="1"/>
    <col min="21" max="21" width="9.140625" style="1711"/>
    <col min="22" max="26" width="9.140625" style="1742"/>
    <col min="27" max="31" width="9.140625" style="1721"/>
  </cols>
  <sheetData>
    <row r="1" spans="1:31" s="1742" customFormat="1" ht="11.25" hidden="1" customHeight="1">
      <c r="A1" s="880"/>
      <c r="C1" s="1495"/>
      <c r="D1" s="464"/>
      <c r="H1" s="1034">
        <v>4</v>
      </c>
      <c r="I1" s="1034">
        <v>4</v>
      </c>
      <c r="L1" s="1495"/>
      <c r="M1" s="1495"/>
      <c r="R1" s="1495"/>
    </row>
    <row r="2" spans="1:31" s="1742" customFormat="1" ht="22.5" hidden="1" customHeight="1">
      <c r="A2" s="880"/>
      <c r="C2" s="1495"/>
      <c r="D2" s="465"/>
      <c r="E2" s="1496"/>
      <c r="F2" s="467"/>
      <c r="G2" s="1498" t="s">
        <v>1720</v>
      </c>
      <c r="H2" s="468"/>
      <c r="I2" s="468"/>
      <c r="J2" s="469" t="s">
        <v>1770</v>
      </c>
      <c r="K2" s="470"/>
      <c r="L2" s="1495"/>
      <c r="M2" s="1495"/>
      <c r="R2" s="1495"/>
      <c r="U2" s="471"/>
      <c r="AA2" s="1491"/>
      <c r="AB2" s="1491"/>
      <c r="AC2" s="1491"/>
      <c r="AD2" s="1491"/>
      <c r="AE2" s="1491"/>
    </row>
    <row r="3" spans="1:31" ht="11.25" hidden="1" customHeight="1"/>
    <row r="4" spans="1:31" s="1721" customFormat="1" ht="11.25" hidden="1" customHeight="1">
      <c r="A4" s="880"/>
      <c r="B4" s="1034"/>
      <c r="C4" s="1495"/>
      <c r="D4" s="288"/>
      <c r="J4" s="1491">
        <v>4</v>
      </c>
      <c r="K4" s="1034"/>
      <c r="L4" s="1495"/>
      <c r="M4" s="1495"/>
      <c r="N4" s="1034"/>
      <c r="O4" s="1034"/>
      <c r="P4" s="1034"/>
      <c r="Q4" s="1034"/>
      <c r="R4" s="1495"/>
      <c r="S4" s="1034"/>
      <c r="T4" s="1034"/>
      <c r="U4" s="471"/>
      <c r="V4" s="1034"/>
      <c r="W4" s="1034"/>
      <c r="X4" s="1034"/>
      <c r="Y4" s="1034"/>
      <c r="Z4" s="1034"/>
    </row>
    <row r="6" spans="1:31" ht="24" customHeight="1">
      <c r="E6" s="2000" t="s">
        <v>1771</v>
      </c>
      <c r="F6" s="2001"/>
      <c r="G6" s="2001"/>
      <c r="H6" s="2001"/>
      <c r="I6" s="2002"/>
      <c r="J6" s="483"/>
    </row>
    <row r="7" spans="1:31" ht="24" customHeight="1">
      <c r="E7" s="2112" t="str">
        <f>IF(org=0,"Не определено",org)</f>
        <v>МУП г. Астрахани "Коммунэнерго"</v>
      </c>
      <c r="F7" s="2113"/>
      <c r="G7" s="2113"/>
      <c r="H7" s="2113"/>
      <c r="I7" s="2114"/>
    </row>
    <row r="8" spans="1:31" ht="11.25" customHeight="1">
      <c r="E8" s="1012"/>
      <c r="F8" s="1012"/>
      <c r="G8" s="1012"/>
      <c r="H8" s="1012"/>
      <c r="I8" s="1012"/>
    </row>
    <row r="9" spans="1:31" s="1755" customFormat="1" ht="0.75" customHeight="1">
      <c r="A9" s="1041"/>
      <c r="D9" s="1500"/>
      <c r="H9" s="785"/>
      <c r="I9" s="785" t="s">
        <v>117</v>
      </c>
    </row>
    <row r="10" spans="1:31" ht="11.25" customHeight="1">
      <c r="E10" s="624"/>
      <c r="F10" s="2295" t="s">
        <v>104</v>
      </c>
      <c r="G10" s="2296"/>
      <c r="H10" s="1423" t="str">
        <f>IF(H9="","",INDEX(DIFFERENTIATION_UNMERGE_VD,MATCH(H9,DIFFERENTIATION_ID_DIFF,0)))</f>
        <v/>
      </c>
      <c r="I10" s="1423" t="str">
        <f>IF(I9="","",INDEX(DIFFERENTIATION_UNMERGE_VD,MATCH(I9,DIFFERENTIATION_ID_DIFF,0)))</f>
        <v>Горячее водоснабжение</v>
      </c>
      <c r="J10" s="2007"/>
    </row>
    <row r="11" spans="1:31" ht="11.25" customHeight="1">
      <c r="E11" s="624"/>
      <c r="F11" s="2295" t="s">
        <v>1422</v>
      </c>
      <c r="G11" s="2296"/>
      <c r="H11" s="1423" t="str">
        <f>IF(H9="","",INDEX(DIFFERENTIATION_UNMERGE_AREA,MATCH(H9,DIFFERENTIATION_ID_DIFF,0)))</f>
        <v/>
      </c>
      <c r="I11" s="1423" t="str">
        <f>IF(I9="","",INDEX(DIFFERENTIATION_UNMERGE_AREA,MATCH(I9,DIFFERENTIATION_ID_DIFF,0)))</f>
        <v>без дифференциации</v>
      </c>
      <c r="J11" s="2007"/>
    </row>
    <row r="12" spans="1:31" ht="11.25" hidden="1" customHeight="1">
      <c r="E12" s="1520"/>
      <c r="F12" s="2335" t="s">
        <v>1423</v>
      </c>
      <c r="G12" s="2336"/>
      <c r="H12" s="1521" t="str">
        <f>IF(H9="","",INDEX(DIFFERENTIATION_UNMERGE_SYSTEM,MATCH(H9,DIFFERENTIATION_ID_DIFF,0)))</f>
        <v/>
      </c>
      <c r="I12" s="1521" t="str">
        <f>IF(I9="","",INDEX(DIFFERENTIATION_UNMERGE_SYSTEM,MATCH(I9,DIFFERENTIATION_ID_DIFF,0)))</f>
        <v>Котельная № Т-29</v>
      </c>
      <c r="J12" s="2007"/>
    </row>
    <row r="13" spans="1:31" ht="11.25" customHeight="1">
      <c r="E13" s="2297" t="s">
        <v>292</v>
      </c>
      <c r="F13" s="2298"/>
      <c r="G13" s="2298"/>
      <c r="H13" s="1422"/>
      <c r="I13" s="1422"/>
      <c r="J13" s="2007"/>
    </row>
    <row r="14" spans="1:31" ht="22.5" customHeight="1">
      <c r="E14" s="1498" t="s">
        <v>87</v>
      </c>
      <c r="F14" s="1493" t="s">
        <v>294</v>
      </c>
      <c r="G14" s="1493" t="s">
        <v>1601</v>
      </c>
      <c r="H14" s="1493" t="s">
        <v>295</v>
      </c>
      <c r="I14" s="1493" t="s">
        <v>295</v>
      </c>
      <c r="J14" s="2007"/>
    </row>
    <row r="15" spans="1:31" ht="18.75" customHeight="1">
      <c r="D15" s="1497"/>
      <c r="E15" s="1489" t="s">
        <v>108</v>
      </c>
      <c r="F15" s="620" t="s">
        <v>1772</v>
      </c>
      <c r="G15" s="1504" t="s">
        <v>1720</v>
      </c>
      <c r="H15" s="484"/>
      <c r="I15" s="484"/>
      <c r="J15" s="207" t="s">
        <v>1773</v>
      </c>
      <c r="K15" s="470" t="s">
        <v>1774</v>
      </c>
    </row>
    <row r="16" spans="1:31" ht="33.75" customHeight="1">
      <c r="D16" s="1497"/>
      <c r="E16" s="1489" t="s">
        <v>109</v>
      </c>
      <c r="F16" s="620" t="s">
        <v>1775</v>
      </c>
      <c r="G16" s="1504" t="s">
        <v>1720</v>
      </c>
      <c r="H16" s="485">
        <f>SUM(H17,H20:H32)</f>
        <v>0</v>
      </c>
      <c r="I16" s="485">
        <f>SUM(I17,I20:I32)</f>
        <v>0</v>
      </c>
      <c r="J16" s="207" t="s">
        <v>1776</v>
      </c>
      <c r="K16" s="470" t="s">
        <v>1774</v>
      </c>
    </row>
    <row r="17" spans="1:31" ht="18.75" customHeight="1">
      <c r="D17" s="1497"/>
      <c r="E17" s="1522" t="s">
        <v>505</v>
      </c>
      <c r="F17" s="848" t="s">
        <v>1777</v>
      </c>
      <c r="G17" s="1501" t="s">
        <v>1720</v>
      </c>
      <c r="H17" s="484"/>
      <c r="I17" s="484"/>
      <c r="J17" s="207" t="s">
        <v>1778</v>
      </c>
      <c r="K17" s="470"/>
    </row>
    <row r="18" spans="1:31" ht="22.5" customHeight="1">
      <c r="D18" s="1497"/>
      <c r="E18" s="1522" t="s">
        <v>1459</v>
      </c>
      <c r="F18" s="1508" t="s">
        <v>1779</v>
      </c>
      <c r="G18" s="1501" t="s">
        <v>1720</v>
      </c>
      <c r="H18" s="484"/>
      <c r="I18" s="484"/>
      <c r="J18" s="207" t="s">
        <v>1780</v>
      </c>
      <c r="K18" s="470"/>
    </row>
    <row r="19" spans="1:31" ht="33.75" customHeight="1">
      <c r="D19" s="1497"/>
      <c r="E19" s="1522" t="s">
        <v>1781</v>
      </c>
      <c r="F19" s="1508" t="s">
        <v>1782</v>
      </c>
      <c r="G19" s="1501" t="s">
        <v>1720</v>
      </c>
      <c r="H19" s="484"/>
      <c r="I19" s="484"/>
      <c r="J19" s="207"/>
      <c r="K19" s="470"/>
    </row>
    <row r="20" spans="1:31" ht="18.75" customHeight="1">
      <c r="D20" s="1497"/>
      <c r="E20" s="1522" t="s">
        <v>299</v>
      </c>
      <c r="F20" s="848" t="s">
        <v>1783</v>
      </c>
      <c r="G20" s="1501" t="s">
        <v>1720</v>
      </c>
      <c r="H20" s="484"/>
      <c r="I20" s="484"/>
      <c r="J20" s="207" t="s">
        <v>1784</v>
      </c>
      <c r="K20" s="470"/>
    </row>
    <row r="21" spans="1:31" ht="18.75" customHeight="1">
      <c r="D21" s="1497"/>
      <c r="E21" s="1522" t="s">
        <v>520</v>
      </c>
      <c r="F21" s="1508" t="s">
        <v>1785</v>
      </c>
      <c r="G21" s="1501" t="s">
        <v>1720</v>
      </c>
      <c r="H21" s="484"/>
      <c r="I21" s="484"/>
      <c r="J21" s="207"/>
      <c r="K21" s="470"/>
    </row>
    <row r="22" spans="1:31" ht="18.75" customHeight="1">
      <c r="D22" s="1497"/>
      <c r="E22" s="1522" t="s">
        <v>525</v>
      </c>
      <c r="F22" s="1508" t="s">
        <v>1786</v>
      </c>
      <c r="G22" s="1501" t="s">
        <v>1720</v>
      </c>
      <c r="H22" s="484"/>
      <c r="I22" s="484"/>
      <c r="J22" s="207"/>
      <c r="K22" s="470"/>
    </row>
    <row r="23" spans="1:31" ht="22.5" customHeight="1">
      <c r="D23" s="1497"/>
      <c r="E23" s="1522" t="s">
        <v>302</v>
      </c>
      <c r="F23" s="848" t="s">
        <v>1787</v>
      </c>
      <c r="G23" s="1501" t="s">
        <v>1720</v>
      </c>
      <c r="H23" s="484"/>
      <c r="I23" s="484"/>
      <c r="J23" s="207" t="s">
        <v>1788</v>
      </c>
      <c r="K23" s="470"/>
    </row>
    <row r="24" spans="1:31" ht="18.75" customHeight="1">
      <c r="D24" s="1497"/>
      <c r="E24" s="1522" t="s">
        <v>519</v>
      </c>
      <c r="F24" s="1508" t="s">
        <v>1789</v>
      </c>
      <c r="G24" s="1501" t="s">
        <v>1720</v>
      </c>
      <c r="H24" s="484"/>
      <c r="I24" s="484"/>
      <c r="J24" s="207"/>
      <c r="K24" s="470"/>
    </row>
    <row r="25" spans="1:31" ht="33.75" customHeight="1">
      <c r="D25" s="1497"/>
      <c r="E25" s="1522" t="s">
        <v>524</v>
      </c>
      <c r="F25" s="1508" t="s">
        <v>1790</v>
      </c>
      <c r="G25" s="1501" t="s">
        <v>1720</v>
      </c>
      <c r="H25" s="484"/>
      <c r="I25" s="484"/>
      <c r="J25" s="207"/>
      <c r="K25" s="470"/>
    </row>
    <row r="26" spans="1:31" ht="22.5" customHeight="1">
      <c r="D26" s="1497"/>
      <c r="E26" s="1522" t="s">
        <v>514</v>
      </c>
      <c r="F26" s="848" t="s">
        <v>1791</v>
      </c>
      <c r="G26" s="1501" t="s">
        <v>1720</v>
      </c>
      <c r="H26" s="484"/>
      <c r="I26" s="484"/>
      <c r="J26" s="207" t="s">
        <v>1792</v>
      </c>
      <c r="K26" s="470"/>
    </row>
    <row r="27" spans="1:31" ht="18.75" customHeight="1">
      <c r="D27" s="1497"/>
      <c r="E27" s="1533" t="s">
        <v>535</v>
      </c>
      <c r="F27" s="1508" t="s">
        <v>1793</v>
      </c>
      <c r="G27" s="1512" t="s">
        <v>1720</v>
      </c>
      <c r="H27" s="1534"/>
      <c r="I27" s="1534"/>
      <c r="J27" s="207"/>
      <c r="K27" s="470"/>
    </row>
    <row r="28" spans="1:31" ht="18.75" customHeight="1">
      <c r="D28" s="1497"/>
      <c r="E28" s="1533" t="s">
        <v>539</v>
      </c>
      <c r="F28" s="1508" t="s">
        <v>1794</v>
      </c>
      <c r="G28" s="1512" t="s">
        <v>1720</v>
      </c>
      <c r="H28" s="1534"/>
      <c r="I28" s="1534"/>
      <c r="J28" s="207"/>
      <c r="K28" s="470"/>
    </row>
    <row r="29" spans="1:31" ht="18.75" customHeight="1">
      <c r="D29" s="1497"/>
      <c r="E29" s="1533" t="s">
        <v>516</v>
      </c>
      <c r="F29" s="848" t="s">
        <v>1795</v>
      </c>
      <c r="G29" s="1512" t="s">
        <v>1720</v>
      </c>
      <c r="H29" s="1534"/>
      <c r="I29" s="1534"/>
      <c r="J29" s="207"/>
      <c r="K29" s="470"/>
    </row>
    <row r="30" spans="1:31" ht="18.75" customHeight="1">
      <c r="D30" s="1497"/>
      <c r="E30" s="1533" t="s">
        <v>530</v>
      </c>
      <c r="F30" s="848" t="s">
        <v>1796</v>
      </c>
      <c r="G30" s="1512" t="s">
        <v>1720</v>
      </c>
      <c r="H30" s="1534"/>
      <c r="I30" s="1534"/>
      <c r="J30" s="207"/>
      <c r="K30" s="470"/>
    </row>
    <row r="31" spans="1:31" ht="18.75" customHeight="1">
      <c r="D31" s="1497"/>
      <c r="E31" s="1533" t="s">
        <v>541</v>
      </c>
      <c r="F31" s="848" t="s">
        <v>1797</v>
      </c>
      <c r="G31" s="1512" t="s">
        <v>1720</v>
      </c>
      <c r="H31" s="1534"/>
      <c r="I31" s="1534"/>
      <c r="J31" s="207"/>
      <c r="K31" s="470"/>
    </row>
    <row r="32" spans="1:31" s="1742" customFormat="1" ht="22.5" customHeight="1">
      <c r="A32" s="880"/>
      <c r="C32" s="1495"/>
      <c r="D32" s="1497"/>
      <c r="E32" s="1533" t="s">
        <v>552</v>
      </c>
      <c r="F32" s="848" t="s">
        <v>1798</v>
      </c>
      <c r="G32" s="1502" t="s">
        <v>1720</v>
      </c>
      <c r="H32" s="506">
        <f>SUM(H33:H34)</f>
        <v>0</v>
      </c>
      <c r="I32" s="506">
        <f>SUM(I33:I34)</f>
        <v>0</v>
      </c>
      <c r="J32" s="207" t="s">
        <v>1799</v>
      </c>
      <c r="K32" s="470"/>
      <c r="L32" s="1495"/>
      <c r="M32" s="1495"/>
      <c r="R32" s="1495"/>
      <c r="U32" s="471"/>
      <c r="AA32" s="1491"/>
      <c r="AB32" s="1491"/>
      <c r="AC32" s="1491"/>
      <c r="AD32" s="1491"/>
      <c r="AE32" s="1491"/>
    </row>
    <row r="33" spans="1:31" s="1755" customFormat="1" ht="0.75" customHeight="1">
      <c r="A33" s="1041"/>
      <c r="D33" s="475"/>
      <c r="E33" s="708" t="str">
        <f>E32&amp;".0"</f>
        <v>2.8.0</v>
      </c>
      <c r="F33" s="884"/>
      <c r="G33" s="478"/>
      <c r="H33" s="885"/>
      <c r="I33" s="885"/>
      <c r="J33" s="886"/>
    </row>
    <row r="34" spans="1:31" s="1742" customFormat="1" ht="18.75" customHeight="1">
      <c r="A34" s="880"/>
      <c r="C34" s="1495"/>
      <c r="D34" s="1492"/>
      <c r="E34" s="497"/>
      <c r="F34" s="1524" t="s">
        <v>1739</v>
      </c>
      <c r="G34" s="499"/>
      <c r="H34" s="500"/>
      <c r="I34" s="500"/>
      <c r="J34" s="219" t="s">
        <v>1800</v>
      </c>
      <c r="K34" s="470"/>
      <c r="L34" s="1495"/>
      <c r="M34" s="1495"/>
      <c r="R34" s="1495"/>
      <c r="U34" s="471"/>
      <c r="AA34" s="1491"/>
      <c r="AB34" s="1491"/>
      <c r="AC34" s="1491"/>
      <c r="AD34" s="1491"/>
      <c r="AE34" s="1491"/>
    </row>
    <row r="35" spans="1:31" ht="56.25" customHeight="1">
      <c r="D35" s="1497"/>
      <c r="E35" s="1533" t="s">
        <v>560</v>
      </c>
      <c r="F35" s="848" t="s">
        <v>1801</v>
      </c>
      <c r="G35" s="1512" t="s">
        <v>1720</v>
      </c>
      <c r="H35" s="1534"/>
      <c r="I35" s="1534"/>
      <c r="J35" s="207" t="s">
        <v>1802</v>
      </c>
      <c r="K35" s="470"/>
    </row>
    <row r="36" spans="1:31" s="1742" customFormat="1" ht="22.5" customHeight="1">
      <c r="A36" s="882" t="s">
        <v>1740</v>
      </c>
      <c r="C36" s="1495"/>
      <c r="D36" s="1497"/>
      <c r="E36" s="1522" t="s">
        <v>89</v>
      </c>
      <c r="F36" s="620" t="s">
        <v>1803</v>
      </c>
      <c r="G36" s="1501" t="s">
        <v>1720</v>
      </c>
      <c r="H36" s="484"/>
      <c r="I36" s="484"/>
      <c r="J36" s="207" t="s">
        <v>612</v>
      </c>
      <c r="K36" s="470"/>
      <c r="L36" s="1495"/>
      <c r="M36" s="1495"/>
      <c r="R36" s="1495"/>
      <c r="U36" s="471"/>
      <c r="AA36" s="1491"/>
      <c r="AB36" s="1491"/>
      <c r="AC36" s="1491"/>
      <c r="AD36" s="1491"/>
      <c r="AE36" s="1491"/>
    </row>
    <row r="37" spans="1:31" s="1742" customFormat="1" ht="22.5" customHeight="1">
      <c r="A37" s="882"/>
      <c r="C37" s="1495"/>
      <c r="D37" s="1497"/>
      <c r="E37" s="1522" t="s">
        <v>318</v>
      </c>
      <c r="F37" s="848" t="s">
        <v>1804</v>
      </c>
      <c r="G37" s="1512"/>
      <c r="H37" s="484"/>
      <c r="I37" s="484"/>
      <c r="J37" s="207"/>
      <c r="K37" s="470"/>
      <c r="L37" s="1495"/>
      <c r="M37" s="1495"/>
      <c r="R37" s="1495"/>
      <c r="U37" s="471"/>
      <c r="AA37" s="1491"/>
      <c r="AB37" s="1491"/>
      <c r="AC37" s="1491"/>
      <c r="AD37" s="1491"/>
      <c r="AE37" s="1491"/>
    </row>
    <row r="38" spans="1:31" s="1742" customFormat="1" ht="18.75" customHeight="1">
      <c r="A38" s="880"/>
      <c r="C38" s="1495"/>
      <c r="D38" s="502"/>
      <c r="E38" s="1522" t="s">
        <v>90</v>
      </c>
      <c r="F38" s="620" t="s">
        <v>615</v>
      </c>
      <c r="G38" s="1501" t="s">
        <v>1720</v>
      </c>
      <c r="H38" s="484"/>
      <c r="I38" s="484"/>
      <c r="J38" s="207" t="s">
        <v>616</v>
      </c>
      <c r="K38" s="470"/>
      <c r="L38" s="1495"/>
      <c r="M38" s="1495"/>
      <c r="R38" s="1495"/>
      <c r="U38" s="471"/>
      <c r="AA38" s="1491"/>
      <c r="AB38" s="1491"/>
      <c r="AC38" s="1491"/>
      <c r="AD38" s="1491"/>
      <c r="AE38" s="1491"/>
    </row>
    <row r="39" spans="1:31" s="1742" customFormat="1" ht="22.5" customHeight="1">
      <c r="A39" s="880"/>
      <c r="C39" s="1495"/>
      <c r="D39" s="502"/>
      <c r="E39" s="1522" t="s">
        <v>613</v>
      </c>
      <c r="F39" s="848" t="s">
        <v>1805</v>
      </c>
      <c r="G39" s="1512" t="s">
        <v>1720</v>
      </c>
      <c r="H39" s="484"/>
      <c r="I39" s="484"/>
      <c r="J39" s="207" t="s">
        <v>1806</v>
      </c>
      <c r="K39" s="470"/>
      <c r="L39" s="1495"/>
      <c r="M39" s="1495"/>
      <c r="R39" s="1495"/>
      <c r="U39" s="471"/>
      <c r="AA39" s="1491"/>
      <c r="AB39" s="1491"/>
      <c r="AC39" s="1491"/>
      <c r="AD39" s="1491"/>
      <c r="AE39" s="1491"/>
    </row>
    <row r="40" spans="1:31" s="1742" customFormat="1" ht="22.5" customHeight="1">
      <c r="A40" s="880"/>
      <c r="C40" s="1495"/>
      <c r="D40" s="1497"/>
      <c r="E40" s="1522" t="s">
        <v>622</v>
      </c>
      <c r="F40" s="1508" t="s">
        <v>1807</v>
      </c>
      <c r="G40" s="1501" t="s">
        <v>1720</v>
      </c>
      <c r="H40" s="484"/>
      <c r="I40" s="484"/>
      <c r="J40" s="207" t="s">
        <v>625</v>
      </c>
      <c r="K40" s="470"/>
      <c r="L40" s="1495"/>
      <c r="M40" s="1495"/>
      <c r="R40" s="1495"/>
      <c r="U40" s="471"/>
      <c r="AA40" s="1491"/>
      <c r="AB40" s="1491"/>
      <c r="AC40" s="1491"/>
      <c r="AD40" s="1491"/>
      <c r="AE40" s="1491"/>
    </row>
    <row r="41" spans="1:31" s="1742" customFormat="1" ht="22.5" customHeight="1">
      <c r="A41" s="880"/>
      <c r="C41" s="1495"/>
      <c r="D41" s="1497"/>
      <c r="E41" s="1522" t="s">
        <v>628</v>
      </c>
      <c r="F41" s="1508" t="s">
        <v>1808</v>
      </c>
      <c r="G41" s="1501" t="s">
        <v>1720</v>
      </c>
      <c r="H41" s="484"/>
      <c r="I41" s="484"/>
      <c r="J41" s="207" t="s">
        <v>631</v>
      </c>
      <c r="K41" s="470"/>
      <c r="L41" s="1495"/>
      <c r="M41" s="1495"/>
      <c r="R41" s="1495"/>
      <c r="U41" s="471"/>
      <c r="AA41" s="1491"/>
      <c r="AB41" s="1491"/>
      <c r="AC41" s="1491"/>
      <c r="AD41" s="1491"/>
      <c r="AE41" s="1491"/>
    </row>
    <row r="42" spans="1:31" s="1742" customFormat="1" ht="22.5" customHeight="1">
      <c r="A42" s="880"/>
      <c r="C42" s="1495"/>
      <c r="D42" s="1497"/>
      <c r="E42" s="1522" t="s">
        <v>1809</v>
      </c>
      <c r="F42" s="1508" t="s">
        <v>1810</v>
      </c>
      <c r="G42" s="1501" t="s">
        <v>1720</v>
      </c>
      <c r="H42" s="484"/>
      <c r="I42" s="484"/>
      <c r="J42" s="207" t="s">
        <v>1811</v>
      </c>
      <c r="K42" s="470"/>
      <c r="L42" s="1495"/>
      <c r="M42" s="1495"/>
      <c r="R42" s="1495"/>
      <c r="U42" s="471"/>
      <c r="AA42" s="1491"/>
      <c r="AB42" s="1491"/>
      <c r="AC42" s="1491"/>
      <c r="AD42" s="1491"/>
      <c r="AE42" s="1491"/>
    </row>
    <row r="43" spans="1:31" s="1742" customFormat="1" ht="33.75" customHeight="1">
      <c r="A43" s="880"/>
      <c r="C43" s="1495" t="s">
        <v>1749</v>
      </c>
      <c r="D43" s="1497"/>
      <c r="E43" s="1522" t="s">
        <v>110</v>
      </c>
      <c r="F43" s="620" t="s">
        <v>638</v>
      </c>
      <c r="G43" s="1504" t="s">
        <v>1812</v>
      </c>
      <c r="H43" s="1958"/>
      <c r="I43" s="1958"/>
      <c r="J43" s="207" t="s">
        <v>1813</v>
      </c>
      <c r="K43" s="470"/>
      <c r="L43" s="1495"/>
      <c r="M43" s="1495"/>
      <c r="R43" s="1495"/>
      <c r="U43" s="471"/>
      <c r="AA43" s="1491"/>
      <c r="AB43" s="1491"/>
      <c r="AC43" s="1491"/>
      <c r="AD43" s="1491"/>
      <c r="AE43" s="1491"/>
    </row>
    <row r="44" spans="1:31" s="1742" customFormat="1" ht="22.5" customHeight="1">
      <c r="A44" s="880"/>
      <c r="C44" s="1495"/>
      <c r="D44" s="1497"/>
      <c r="E44" s="1522" t="s">
        <v>91</v>
      </c>
      <c r="F44" s="620" t="s">
        <v>1814</v>
      </c>
      <c r="G44" s="1501" t="s">
        <v>1815</v>
      </c>
      <c r="H44" s="472"/>
      <c r="I44" s="472"/>
      <c r="J44" s="207" t="s">
        <v>1816</v>
      </c>
      <c r="K44" s="470"/>
      <c r="L44" s="1495"/>
      <c r="M44" s="1495"/>
      <c r="R44" s="1495"/>
      <c r="U44" s="471"/>
      <c r="AA44" s="1491"/>
      <c r="AB44" s="1491"/>
      <c r="AC44" s="1491"/>
      <c r="AD44" s="1491"/>
      <c r="AE44" s="1491"/>
    </row>
    <row r="45" spans="1:31" s="1742" customFormat="1" ht="22.5" customHeight="1">
      <c r="A45" s="880"/>
      <c r="C45" s="1495"/>
      <c r="D45" s="1497"/>
      <c r="E45" s="1522" t="s">
        <v>92</v>
      </c>
      <c r="F45" s="620" t="s">
        <v>1817</v>
      </c>
      <c r="G45" s="1512" t="s">
        <v>1818</v>
      </c>
      <c r="H45" s="472"/>
      <c r="I45" s="472"/>
      <c r="J45" s="207" t="s">
        <v>1819</v>
      </c>
      <c r="K45" s="470"/>
      <c r="L45" s="1495"/>
      <c r="M45" s="1495"/>
      <c r="R45" s="1495"/>
      <c r="U45" s="471"/>
      <c r="AA45" s="1491"/>
      <c r="AB45" s="1491"/>
      <c r="AC45" s="1491"/>
      <c r="AD45" s="1491"/>
      <c r="AE45" s="1491"/>
    </row>
    <row r="46" spans="1:31" s="1742" customFormat="1" ht="18.75" customHeight="1">
      <c r="A46" s="880"/>
      <c r="C46" s="1495"/>
      <c r="D46" s="1497"/>
      <c r="E46" s="1522" t="s">
        <v>111</v>
      </c>
      <c r="F46" s="620" t="s">
        <v>1820</v>
      </c>
      <c r="G46" s="1501" t="s">
        <v>1751</v>
      </c>
      <c r="H46" s="504"/>
      <c r="I46" s="504"/>
      <c r="J46" s="207"/>
      <c r="K46" s="470"/>
      <c r="L46" s="1495"/>
      <c r="M46" s="1495"/>
      <c r="R46" s="1495"/>
      <c r="U46" s="471"/>
      <c r="AA46" s="1491"/>
      <c r="AB46" s="1491"/>
      <c r="AC46" s="1491"/>
      <c r="AD46" s="1491"/>
      <c r="AE46" s="1491"/>
    </row>
    <row r="47" spans="1:31" ht="11.25" customHeight="1">
      <c r="D47" s="1497"/>
    </row>
    <row r="48" spans="1:31" ht="26.25" customHeight="1">
      <c r="D48" s="1497"/>
      <c r="E48" s="1126"/>
      <c r="F48" s="2220"/>
      <c r="G48" s="2220"/>
      <c r="H48" s="2220"/>
      <c r="I48" s="2220"/>
      <c r="J48" s="2220"/>
    </row>
    <row r="49" spans="1:31" s="1708" customFormat="1" ht="37.5" customHeight="1">
      <c r="A49" s="880"/>
      <c r="B49" s="1495"/>
      <c r="C49" s="1495"/>
      <c r="D49" s="275"/>
      <c r="F49" s="2220"/>
      <c r="G49" s="2220"/>
      <c r="H49" s="2220"/>
      <c r="I49" s="2220"/>
      <c r="J49" s="2220"/>
      <c r="K49" s="1034"/>
      <c r="L49" s="1495"/>
      <c r="M49" s="1495"/>
      <c r="N49" s="1034"/>
      <c r="O49" s="1034"/>
      <c r="P49" s="1034"/>
      <c r="Q49" s="1034"/>
      <c r="R49" s="1495"/>
      <c r="S49" s="1034"/>
      <c r="T49" s="1034"/>
      <c r="U49" s="471"/>
      <c r="V49" s="1034"/>
      <c r="W49" s="1034"/>
      <c r="X49" s="1034"/>
      <c r="Y49" s="1034"/>
      <c r="Z49" s="1034"/>
      <c r="AA49" s="1491"/>
      <c r="AB49" s="493"/>
      <c r="AC49" s="493"/>
      <c r="AD49" s="493"/>
      <c r="AE49" s="493"/>
    </row>
    <row r="50" spans="1:31" s="1708" customFormat="1" ht="11.25" customHeight="1">
      <c r="A50" s="880"/>
      <c r="B50" s="1495"/>
      <c r="C50" s="1495"/>
      <c r="D50" s="275"/>
      <c r="K50" s="1034"/>
      <c r="L50" s="1495"/>
      <c r="M50" s="1495"/>
      <c r="N50" s="1034"/>
      <c r="O50" s="1034"/>
      <c r="P50" s="1034"/>
      <c r="Q50" s="1034"/>
      <c r="R50" s="1495"/>
      <c r="S50" s="1034"/>
      <c r="T50" s="1034"/>
      <c r="U50" s="471"/>
      <c r="V50" s="1034"/>
      <c r="W50" s="1034"/>
      <c r="X50" s="1034"/>
      <c r="Y50" s="1034"/>
      <c r="Z50" s="1034"/>
      <c r="AA50" s="1491"/>
      <c r="AB50" s="493"/>
      <c r="AC50" s="493"/>
      <c r="AD50" s="493"/>
      <c r="AE50" s="493"/>
    </row>
    <row r="51" spans="1:31" s="1708" customFormat="1" ht="11.25" customHeight="1">
      <c r="A51" s="880"/>
      <c r="B51" s="1495"/>
      <c r="C51" s="1495"/>
      <c r="D51" s="275"/>
      <c r="K51" s="1034"/>
      <c r="L51" s="1495"/>
      <c r="M51" s="1495"/>
      <c r="N51" s="1034"/>
      <c r="O51" s="1034"/>
      <c r="P51" s="1034"/>
      <c r="Q51" s="1034"/>
      <c r="R51" s="1495"/>
      <c r="S51" s="1034"/>
      <c r="T51" s="1034"/>
      <c r="U51" s="471"/>
      <c r="V51" s="1034"/>
      <c r="W51" s="1034"/>
      <c r="X51" s="1034"/>
      <c r="Y51" s="1034"/>
      <c r="Z51" s="1034"/>
      <c r="AA51" s="1491"/>
      <c r="AB51" s="493"/>
      <c r="AC51" s="493"/>
      <c r="AD51" s="493"/>
      <c r="AE51" s="493"/>
    </row>
    <row r="52" spans="1:31" s="1708" customFormat="1" ht="11.25" customHeight="1">
      <c r="A52" s="880"/>
      <c r="B52" s="1495"/>
      <c r="C52" s="1495"/>
      <c r="D52" s="275"/>
      <c r="H52" s="493"/>
      <c r="I52" s="493"/>
      <c r="K52" s="1034"/>
      <c r="L52" s="1495"/>
      <c r="M52" s="1495"/>
      <c r="N52" s="1034"/>
      <c r="O52" s="1034"/>
      <c r="P52" s="1034"/>
      <c r="Q52" s="1034"/>
      <c r="R52" s="1495"/>
      <c r="S52" s="1034"/>
      <c r="T52" s="1034"/>
      <c r="U52" s="471"/>
      <c r="V52" s="1034"/>
      <c r="W52" s="1034"/>
      <c r="X52" s="1034"/>
      <c r="Y52" s="1034"/>
      <c r="Z52" s="1034"/>
      <c r="AA52" s="1491"/>
      <c r="AB52" s="493"/>
      <c r="AC52" s="493"/>
      <c r="AD52" s="493"/>
      <c r="AE52" s="493"/>
    </row>
    <row r="53" spans="1:31" s="1708" customFormat="1" ht="11.25" customHeight="1">
      <c r="A53" s="880"/>
      <c r="B53" s="1495"/>
      <c r="C53" s="1495"/>
      <c r="D53" s="275"/>
      <c r="K53" s="1034"/>
      <c r="L53" s="1495"/>
      <c r="M53" s="1495"/>
      <c r="N53" s="1034"/>
      <c r="O53" s="1034"/>
      <c r="P53" s="1034"/>
      <c r="Q53" s="1034"/>
      <c r="R53" s="1495"/>
      <c r="S53" s="1034"/>
      <c r="T53" s="1034"/>
      <c r="U53" s="471"/>
      <c r="V53" s="1034"/>
      <c r="W53" s="1034"/>
      <c r="X53" s="1034"/>
      <c r="Y53" s="1034"/>
      <c r="Z53" s="1034"/>
      <c r="AA53" s="1491"/>
      <c r="AB53" s="493"/>
      <c r="AC53" s="493"/>
      <c r="AD53" s="493"/>
      <c r="AE53" s="493"/>
    </row>
    <row r="54" spans="1:31" s="1708" customFormat="1" ht="11.25" customHeight="1">
      <c r="A54" s="880"/>
      <c r="B54" s="1495"/>
      <c r="C54" s="1495"/>
      <c r="D54" s="275"/>
      <c r="K54" s="1034"/>
      <c r="L54" s="1495"/>
      <c r="M54" s="1495"/>
      <c r="N54" s="1034"/>
      <c r="O54" s="1034"/>
      <c r="P54" s="1034"/>
      <c r="Q54" s="1034"/>
      <c r="R54" s="1495"/>
      <c r="S54" s="1034"/>
      <c r="T54" s="1034"/>
      <c r="U54" s="471"/>
      <c r="V54" s="1034"/>
      <c r="W54" s="1034"/>
      <c r="X54" s="1034"/>
      <c r="Y54" s="1034"/>
      <c r="Z54" s="1034"/>
      <c r="AA54" s="1491"/>
      <c r="AB54" s="493"/>
      <c r="AC54" s="493"/>
      <c r="AD54" s="493"/>
      <c r="AE54" s="493"/>
    </row>
    <row r="55" spans="1:31" s="1708" customFormat="1" ht="11.25" customHeight="1">
      <c r="A55" s="880"/>
      <c r="B55" s="1495"/>
      <c r="C55" s="1495"/>
      <c r="D55" s="275"/>
      <c r="K55" s="1034"/>
      <c r="L55" s="1495"/>
      <c r="M55" s="1495"/>
      <c r="N55" s="1034"/>
      <c r="O55" s="1034"/>
      <c r="P55" s="1034"/>
      <c r="Q55" s="1034"/>
      <c r="R55" s="1495"/>
      <c r="S55" s="1034"/>
      <c r="T55" s="1034"/>
      <c r="U55" s="471"/>
      <c r="V55" s="1034"/>
      <c r="W55" s="1034"/>
      <c r="X55" s="1034"/>
      <c r="Y55" s="1034"/>
      <c r="Z55" s="1034"/>
      <c r="AA55" s="1491"/>
      <c r="AB55" s="493"/>
      <c r="AC55" s="493"/>
      <c r="AD55" s="493"/>
      <c r="AE55" s="493"/>
    </row>
    <row r="56" spans="1:31" s="1708" customFormat="1" ht="11.25" customHeight="1">
      <c r="A56" s="880"/>
      <c r="B56" s="1495"/>
      <c r="C56" s="1495"/>
      <c r="D56" s="275"/>
      <c r="K56" s="1034"/>
      <c r="L56" s="1495"/>
      <c r="M56" s="1495"/>
      <c r="N56" s="1034"/>
      <c r="O56" s="1034"/>
      <c r="P56" s="1034"/>
      <c r="Q56" s="1034"/>
      <c r="R56" s="1495"/>
      <c r="S56" s="1034"/>
      <c r="T56" s="1034"/>
      <c r="U56" s="471"/>
      <c r="V56" s="1034"/>
      <c r="W56" s="1034"/>
      <c r="X56" s="1034"/>
      <c r="Y56" s="1034"/>
      <c r="Z56" s="1034"/>
      <c r="AA56" s="1491"/>
      <c r="AB56" s="493"/>
      <c r="AC56" s="493"/>
      <c r="AD56" s="493"/>
      <c r="AE56" s="493"/>
    </row>
    <row r="57" spans="1:31" s="1708" customFormat="1" ht="11.25" customHeight="1">
      <c r="A57" s="880"/>
      <c r="B57" s="1495"/>
      <c r="C57" s="1495"/>
      <c r="D57" s="275"/>
      <c r="K57" s="1034"/>
      <c r="L57" s="1495"/>
      <c r="M57" s="1495"/>
      <c r="N57" s="1034"/>
      <c r="O57" s="1034"/>
      <c r="P57" s="1034"/>
      <c r="Q57" s="1034"/>
      <c r="R57" s="1495"/>
      <c r="S57" s="1034"/>
      <c r="T57" s="1034"/>
      <c r="U57" s="471"/>
      <c r="V57" s="1034"/>
      <c r="W57" s="1034"/>
      <c r="X57" s="1034"/>
      <c r="Y57" s="1034"/>
      <c r="Z57" s="1034"/>
      <c r="AA57" s="1491"/>
      <c r="AB57" s="493"/>
      <c r="AC57" s="493"/>
      <c r="AD57" s="493"/>
      <c r="AE57" s="493"/>
    </row>
    <row r="58" spans="1:31" s="1708" customFormat="1" ht="11.25" customHeight="1">
      <c r="A58" s="880"/>
      <c r="B58" s="1495"/>
      <c r="C58" s="1495"/>
      <c r="D58" s="275"/>
      <c r="K58" s="1034"/>
      <c r="L58" s="1495"/>
      <c r="M58" s="1495"/>
      <c r="N58" s="1034"/>
      <c r="O58" s="1034"/>
      <c r="P58" s="1034"/>
      <c r="Q58" s="1034"/>
      <c r="R58" s="1495"/>
      <c r="S58" s="1034"/>
      <c r="T58" s="1034"/>
      <c r="U58" s="471"/>
      <c r="V58" s="1034"/>
      <c r="W58" s="1034"/>
      <c r="X58" s="1034"/>
      <c r="Y58" s="1034"/>
      <c r="Z58" s="1034"/>
      <c r="AA58" s="1491"/>
      <c r="AB58" s="493"/>
      <c r="AC58" s="493"/>
      <c r="AD58" s="493"/>
      <c r="AE58" s="493"/>
    </row>
    <row r="59" spans="1:31" s="1708" customFormat="1" ht="11.25" customHeight="1">
      <c r="A59" s="880"/>
      <c r="B59" s="1495"/>
      <c r="C59" s="1495"/>
      <c r="D59" s="275"/>
      <c r="K59" s="1034"/>
      <c r="L59" s="1495"/>
      <c r="M59" s="1495"/>
      <c r="N59" s="1034"/>
      <c r="O59" s="1034"/>
      <c r="P59" s="1034"/>
      <c r="Q59" s="1034"/>
      <c r="R59" s="1495"/>
      <c r="S59" s="1034"/>
      <c r="T59" s="1034"/>
      <c r="U59" s="471"/>
      <c r="V59" s="1034"/>
      <c r="W59" s="1034"/>
      <c r="X59" s="1034"/>
      <c r="Y59" s="1034"/>
      <c r="Z59" s="1034"/>
      <c r="AA59" s="1491"/>
      <c r="AB59" s="493"/>
      <c r="AC59" s="493"/>
      <c r="AD59" s="493"/>
      <c r="AE59" s="493"/>
    </row>
    <row r="60" spans="1:31" s="1708" customFormat="1" ht="11.25" customHeight="1">
      <c r="A60" s="880"/>
      <c r="B60" s="1495"/>
      <c r="C60" s="1495"/>
      <c r="D60" s="275"/>
      <c r="K60" s="1034"/>
      <c r="L60" s="1495"/>
      <c r="M60" s="1495"/>
      <c r="N60" s="1034"/>
      <c r="O60" s="1034"/>
      <c r="P60" s="1034"/>
      <c r="Q60" s="1034"/>
      <c r="R60" s="1495"/>
      <c r="S60" s="1034"/>
      <c r="T60" s="1034"/>
      <c r="U60" s="471"/>
      <c r="V60" s="1034"/>
      <c r="W60" s="1034"/>
      <c r="X60" s="1034"/>
      <c r="Y60" s="1034"/>
      <c r="Z60" s="1034"/>
      <c r="AA60" s="1491"/>
      <c r="AB60" s="493"/>
      <c r="AC60" s="493"/>
      <c r="AD60" s="493"/>
      <c r="AE60" s="493"/>
    </row>
    <row r="61" spans="1:31" s="1708" customFormat="1" ht="11.25" customHeight="1">
      <c r="A61" s="880"/>
      <c r="B61" s="1495"/>
      <c r="C61" s="1495"/>
      <c r="D61" s="275"/>
      <c r="K61" s="1034"/>
      <c r="L61" s="1495"/>
      <c r="M61" s="1495"/>
      <c r="N61" s="1034"/>
      <c r="O61" s="1034"/>
      <c r="P61" s="1034"/>
      <c r="Q61" s="1034"/>
      <c r="R61" s="1495"/>
      <c r="S61" s="1034"/>
      <c r="T61" s="1034"/>
      <c r="U61" s="471"/>
      <c r="V61" s="1034"/>
      <c r="W61" s="1034"/>
      <c r="X61" s="1034"/>
      <c r="Y61" s="1034"/>
      <c r="Z61" s="1034"/>
      <c r="AA61" s="1491"/>
      <c r="AB61" s="493"/>
      <c r="AC61" s="493"/>
      <c r="AD61" s="493"/>
      <c r="AE61" s="493"/>
    </row>
    <row r="62" spans="1:31" s="1708" customFormat="1" ht="11.25" customHeight="1">
      <c r="A62" s="880"/>
      <c r="B62" s="1495"/>
      <c r="C62" s="1495"/>
      <c r="D62" s="275"/>
      <c r="K62" s="1034"/>
      <c r="L62" s="1495"/>
      <c r="M62" s="1495"/>
      <c r="N62" s="1034"/>
      <c r="O62" s="1034"/>
      <c r="P62" s="1034"/>
      <c r="Q62" s="1034"/>
      <c r="R62" s="1495"/>
      <c r="S62" s="1034"/>
      <c r="T62" s="1034"/>
      <c r="U62" s="471"/>
      <c r="V62" s="1034"/>
      <c r="W62" s="1034"/>
      <c r="X62" s="1034"/>
      <c r="Y62" s="1034"/>
      <c r="Z62" s="1034"/>
      <c r="AA62" s="1491"/>
      <c r="AB62" s="493"/>
      <c r="AC62" s="493"/>
      <c r="AD62" s="493"/>
      <c r="AE62" s="493"/>
    </row>
    <row r="63" spans="1:31" s="1708" customFormat="1" ht="11.25" customHeight="1">
      <c r="A63" s="880"/>
      <c r="B63" s="1495"/>
      <c r="C63" s="1495"/>
      <c r="D63" s="275"/>
      <c r="K63" s="1034"/>
      <c r="L63" s="1495"/>
      <c r="M63" s="1495"/>
      <c r="N63" s="1034"/>
      <c r="O63" s="1034"/>
      <c r="P63" s="1034"/>
      <c r="Q63" s="1034"/>
      <c r="R63" s="1495"/>
      <c r="S63" s="1034"/>
      <c r="T63" s="1034"/>
      <c r="U63" s="471"/>
      <c r="V63" s="1034"/>
      <c r="W63" s="1034"/>
      <c r="X63" s="1034"/>
      <c r="Y63" s="1034"/>
      <c r="Z63" s="1034"/>
      <c r="AA63" s="1491"/>
      <c r="AB63" s="493"/>
      <c r="AC63" s="493"/>
      <c r="AD63" s="493"/>
      <c r="AE63" s="493"/>
    </row>
    <row r="64" spans="1:31" s="1708" customFormat="1" ht="11.25" customHeight="1">
      <c r="A64" s="880"/>
      <c r="B64" s="1495"/>
      <c r="C64" s="1495"/>
      <c r="D64" s="275"/>
      <c r="K64" s="1034"/>
      <c r="L64" s="1495"/>
      <c r="M64" s="1495"/>
      <c r="N64" s="1034"/>
      <c r="O64" s="1034"/>
      <c r="P64" s="1034"/>
      <c r="Q64" s="1034"/>
      <c r="R64" s="1495"/>
      <c r="S64" s="1034"/>
      <c r="T64" s="1034"/>
      <c r="U64" s="471"/>
      <c r="V64" s="1034"/>
      <c r="W64" s="1034"/>
      <c r="X64" s="1034"/>
      <c r="Y64" s="1034"/>
      <c r="Z64" s="1034"/>
      <c r="AA64" s="1491"/>
      <c r="AB64" s="493"/>
      <c r="AC64" s="493"/>
      <c r="AD64" s="493"/>
      <c r="AE64" s="493"/>
    </row>
    <row r="65" spans="1:31" s="1708" customFormat="1" ht="11.25" customHeight="1">
      <c r="A65" s="880"/>
      <c r="B65" s="1495"/>
      <c r="C65" s="1495"/>
      <c r="D65" s="275"/>
      <c r="K65" s="1034"/>
      <c r="L65" s="1495"/>
      <c r="M65" s="1495"/>
      <c r="N65" s="1034"/>
      <c r="O65" s="1034"/>
      <c r="P65" s="1034"/>
      <c r="Q65" s="1034"/>
      <c r="R65" s="1495"/>
      <c r="S65" s="1034"/>
      <c r="T65" s="1034"/>
      <c r="U65" s="471"/>
      <c r="V65" s="1034"/>
      <c r="W65" s="1034"/>
      <c r="X65" s="1034"/>
      <c r="Y65" s="1034"/>
      <c r="Z65" s="1034"/>
      <c r="AA65" s="1491"/>
      <c r="AB65" s="493"/>
      <c r="AC65" s="493"/>
      <c r="AD65" s="493"/>
      <c r="AE65" s="493"/>
    </row>
    <row r="66" spans="1:31" s="1708" customFormat="1" ht="11.25" customHeight="1">
      <c r="A66" s="880"/>
      <c r="B66" s="1495"/>
      <c r="C66" s="1495"/>
      <c r="D66" s="275"/>
      <c r="K66" s="1034"/>
      <c r="L66" s="1495"/>
      <c r="M66" s="1495"/>
      <c r="N66" s="1034"/>
      <c r="O66" s="1034"/>
      <c r="P66" s="1034"/>
      <c r="Q66" s="1034"/>
      <c r="R66" s="1495"/>
      <c r="S66" s="1034"/>
      <c r="T66" s="1034"/>
      <c r="U66" s="471"/>
      <c r="V66" s="1034"/>
      <c r="W66" s="1034"/>
      <c r="X66" s="1034"/>
      <c r="Y66" s="1034"/>
      <c r="Z66" s="1034"/>
      <c r="AA66" s="1491"/>
      <c r="AB66" s="493"/>
      <c r="AC66" s="493"/>
      <c r="AD66" s="493"/>
      <c r="AE66" s="493"/>
    </row>
    <row r="67" spans="1:31" s="1708" customFormat="1" ht="11.25" customHeight="1">
      <c r="A67" s="880"/>
      <c r="B67" s="1495"/>
      <c r="C67" s="1495"/>
      <c r="D67" s="275"/>
      <c r="K67" s="1034"/>
      <c r="L67" s="1495"/>
      <c r="M67" s="1495"/>
      <c r="N67" s="1034"/>
      <c r="O67" s="1034"/>
      <c r="P67" s="1034"/>
      <c r="Q67" s="1034"/>
      <c r="R67" s="1495"/>
      <c r="S67" s="1034"/>
      <c r="T67" s="1034"/>
      <c r="U67" s="471"/>
      <c r="V67" s="1034"/>
      <c r="W67" s="1034"/>
      <c r="X67" s="1034"/>
      <c r="Y67" s="1034"/>
      <c r="Z67" s="1034"/>
      <c r="AA67" s="1491"/>
      <c r="AB67" s="493"/>
      <c r="AC67" s="493"/>
      <c r="AD67" s="493"/>
      <c r="AE67" s="493"/>
    </row>
    <row r="68" spans="1:31" s="1708" customFormat="1" ht="11.25" customHeight="1">
      <c r="A68" s="880"/>
      <c r="B68" s="1495"/>
      <c r="C68" s="1495"/>
      <c r="D68" s="275"/>
      <c r="K68" s="1034"/>
      <c r="L68" s="1495"/>
      <c r="M68" s="1495"/>
      <c r="N68" s="1034"/>
      <c r="O68" s="1034"/>
      <c r="P68" s="1034"/>
      <c r="Q68" s="1034"/>
      <c r="R68" s="1495"/>
      <c r="S68" s="1034"/>
      <c r="T68" s="1034"/>
      <c r="U68" s="471"/>
      <c r="V68" s="1034"/>
      <c r="W68" s="1034"/>
      <c r="X68" s="1034"/>
      <c r="Y68" s="1034"/>
      <c r="Z68" s="1034"/>
      <c r="AA68" s="1491"/>
      <c r="AB68" s="493"/>
      <c r="AC68" s="493"/>
      <c r="AD68" s="493"/>
      <c r="AE68" s="493"/>
    </row>
    <row r="69" spans="1:31" s="1708" customFormat="1" ht="11.25" customHeight="1">
      <c r="A69" s="880"/>
      <c r="B69" s="1495"/>
      <c r="C69" s="1495"/>
      <c r="D69" s="275"/>
      <c r="K69" s="1034"/>
      <c r="L69" s="1495"/>
      <c r="M69" s="1495"/>
      <c r="N69" s="1034"/>
      <c r="O69" s="1034"/>
      <c r="P69" s="1034"/>
      <c r="Q69" s="1034"/>
      <c r="R69" s="1495"/>
      <c r="S69" s="1034"/>
      <c r="T69" s="1034"/>
      <c r="U69" s="471"/>
      <c r="V69" s="1034"/>
      <c r="W69" s="1034"/>
      <c r="X69" s="1034"/>
      <c r="Y69" s="1034"/>
      <c r="Z69" s="1034"/>
      <c r="AA69" s="1491"/>
      <c r="AB69" s="493"/>
      <c r="AC69" s="493"/>
      <c r="AD69" s="493"/>
      <c r="AE69" s="493"/>
    </row>
    <row r="70" spans="1:31" s="1708" customFormat="1" ht="11.25" customHeight="1">
      <c r="A70" s="880"/>
      <c r="B70" s="1495"/>
      <c r="C70" s="1495"/>
      <c r="D70" s="275"/>
      <c r="K70" s="1034"/>
      <c r="L70" s="1495"/>
      <c r="M70" s="1495"/>
      <c r="N70" s="1034"/>
      <c r="O70" s="1034"/>
      <c r="P70" s="1034"/>
      <c r="Q70" s="1034"/>
      <c r="R70" s="1495"/>
      <c r="S70" s="1034"/>
      <c r="T70" s="1034"/>
      <c r="U70" s="471"/>
      <c r="V70" s="1034"/>
      <c r="W70" s="1034"/>
      <c r="X70" s="1034"/>
      <c r="Y70" s="1034"/>
      <c r="Z70" s="1034"/>
      <c r="AA70" s="1491"/>
      <c r="AB70" s="493"/>
      <c r="AC70" s="493"/>
      <c r="AD70" s="493"/>
      <c r="AE70" s="493"/>
    </row>
    <row r="71" spans="1:31" s="1708" customFormat="1" ht="11.25" customHeight="1">
      <c r="A71" s="880"/>
      <c r="B71" s="1495"/>
      <c r="C71" s="1495"/>
      <c r="D71" s="275"/>
      <c r="K71" s="1034"/>
      <c r="L71" s="1495"/>
      <c r="M71" s="1495"/>
      <c r="N71" s="1034"/>
      <c r="O71" s="1034"/>
      <c r="P71" s="1034"/>
      <c r="Q71" s="1034"/>
      <c r="R71" s="1495"/>
      <c r="S71" s="1034"/>
      <c r="T71" s="1034"/>
      <c r="U71" s="471"/>
      <c r="V71" s="1034"/>
      <c r="W71" s="1034"/>
      <c r="X71" s="1034"/>
      <c r="Y71" s="1034"/>
      <c r="Z71" s="1034"/>
      <c r="AA71" s="1491"/>
      <c r="AB71" s="493"/>
      <c r="AC71" s="493"/>
      <c r="AD71" s="493"/>
      <c r="AE71" s="493"/>
    </row>
    <row r="72" spans="1:31" s="1708" customFormat="1" ht="11.25" customHeight="1">
      <c r="A72" s="880"/>
      <c r="B72" s="1495"/>
      <c r="C72" s="1495"/>
      <c r="D72" s="275"/>
      <c r="K72" s="1034"/>
      <c r="L72" s="1495"/>
      <c r="M72" s="1495"/>
      <c r="N72" s="1034"/>
      <c r="O72" s="1034"/>
      <c r="P72" s="1034"/>
      <c r="Q72" s="1034"/>
      <c r="R72" s="1495"/>
      <c r="S72" s="1034"/>
      <c r="T72" s="1034"/>
      <c r="U72" s="471"/>
      <c r="V72" s="1034"/>
      <c r="W72" s="1034"/>
      <c r="X72" s="1034"/>
      <c r="Y72" s="1034"/>
      <c r="Z72" s="1034"/>
      <c r="AA72" s="1491"/>
      <c r="AB72" s="493"/>
      <c r="AC72" s="493"/>
      <c r="AD72" s="493"/>
      <c r="AE72" s="493"/>
    </row>
    <row r="73" spans="1:31" s="1708" customFormat="1" ht="11.25" customHeight="1">
      <c r="A73" s="880"/>
      <c r="B73" s="1495"/>
      <c r="C73" s="1495"/>
      <c r="D73" s="275"/>
      <c r="K73" s="1034"/>
      <c r="L73" s="1495"/>
      <c r="M73" s="1495"/>
      <c r="N73" s="1034"/>
      <c r="O73" s="1034"/>
      <c r="P73" s="1034"/>
      <c r="Q73" s="1034"/>
      <c r="R73" s="1495"/>
      <c r="S73" s="1034"/>
      <c r="T73" s="1034"/>
      <c r="U73" s="471"/>
      <c r="V73" s="1034"/>
      <c r="W73" s="1034"/>
      <c r="X73" s="1034"/>
      <c r="Y73" s="1034"/>
      <c r="Z73" s="1034"/>
      <c r="AA73" s="1491"/>
      <c r="AB73" s="493"/>
      <c r="AC73" s="493"/>
      <c r="AD73" s="493"/>
      <c r="AE73" s="493"/>
    </row>
    <row r="74" spans="1:31" s="1708" customFormat="1" ht="11.25" customHeight="1">
      <c r="A74" s="880"/>
      <c r="B74" s="1495"/>
      <c r="C74" s="1495"/>
      <c r="D74" s="275"/>
      <c r="K74" s="1034"/>
      <c r="L74" s="1495"/>
      <c r="M74" s="1495"/>
      <c r="N74" s="1034"/>
      <c r="O74" s="1034"/>
      <c r="P74" s="1034"/>
      <c r="Q74" s="1034"/>
      <c r="R74" s="1495"/>
      <c r="S74" s="1034"/>
      <c r="T74" s="1034"/>
      <c r="U74" s="471"/>
      <c r="V74" s="1034"/>
      <c r="W74" s="1034"/>
      <c r="X74" s="1034"/>
      <c r="Y74" s="1034"/>
      <c r="Z74" s="1034"/>
      <c r="AA74" s="1491"/>
      <c r="AB74" s="493"/>
      <c r="AC74" s="493"/>
      <c r="AD74" s="493"/>
      <c r="AE74" s="493"/>
    </row>
    <row r="75" spans="1:31" s="1708" customFormat="1" ht="11.25" customHeight="1">
      <c r="A75" s="880"/>
      <c r="B75" s="1495"/>
      <c r="C75" s="1495"/>
      <c r="D75" s="275"/>
      <c r="K75" s="1034"/>
      <c r="L75" s="1495"/>
      <c r="M75" s="1495"/>
      <c r="N75" s="1034"/>
      <c r="O75" s="1034"/>
      <c r="P75" s="1034"/>
      <c r="Q75" s="1034"/>
      <c r="R75" s="1495"/>
      <c r="S75" s="1034"/>
      <c r="T75" s="1034"/>
      <c r="U75" s="471"/>
      <c r="V75" s="1034"/>
      <c r="W75" s="1034"/>
      <c r="X75" s="1034"/>
      <c r="Y75" s="1034"/>
      <c r="Z75" s="1034"/>
      <c r="AA75" s="1491"/>
      <c r="AB75" s="493"/>
      <c r="AC75" s="493"/>
      <c r="AD75" s="493"/>
      <c r="AE75" s="493"/>
    </row>
    <row r="76" spans="1:31" s="1708" customFormat="1" ht="11.25" customHeight="1">
      <c r="A76" s="880"/>
      <c r="B76" s="1495"/>
      <c r="C76" s="1495"/>
      <c r="D76" s="275"/>
      <c r="K76" s="1034"/>
      <c r="L76" s="1495"/>
      <c r="M76" s="1495"/>
      <c r="N76" s="1034"/>
      <c r="O76" s="1034"/>
      <c r="P76" s="1034"/>
      <c r="Q76" s="1034"/>
      <c r="R76" s="1495"/>
      <c r="S76" s="1034"/>
      <c r="T76" s="1034"/>
      <c r="U76" s="471"/>
      <c r="V76" s="1034"/>
      <c r="W76" s="1034"/>
      <c r="X76" s="1034"/>
      <c r="Y76" s="1034"/>
      <c r="Z76" s="1034"/>
      <c r="AA76" s="1491"/>
      <c r="AB76" s="493"/>
      <c r="AC76" s="493"/>
      <c r="AD76" s="493"/>
      <c r="AE76" s="493"/>
    </row>
    <row r="77" spans="1:31" s="1708" customFormat="1" ht="11.25" customHeight="1">
      <c r="A77" s="880"/>
      <c r="B77" s="1495"/>
      <c r="C77" s="1495"/>
      <c r="D77" s="275"/>
      <c r="K77" s="1034"/>
      <c r="L77" s="1495"/>
      <c r="M77" s="1495"/>
      <c r="N77" s="1034"/>
      <c r="O77" s="1034"/>
      <c r="P77" s="1034"/>
      <c r="Q77" s="1034"/>
      <c r="R77" s="1495"/>
      <c r="S77" s="1034"/>
      <c r="T77" s="1034"/>
      <c r="U77" s="471"/>
      <c r="V77" s="1034"/>
      <c r="W77" s="1034"/>
      <c r="X77" s="1034"/>
      <c r="Y77" s="1034"/>
      <c r="Z77" s="1034"/>
      <c r="AA77" s="1491"/>
      <c r="AB77" s="493"/>
      <c r="AC77" s="493"/>
      <c r="AD77" s="493"/>
      <c r="AE77" s="493"/>
    </row>
    <row r="78" spans="1:31" s="1708" customFormat="1" ht="11.25" customHeight="1">
      <c r="A78" s="880"/>
      <c r="B78" s="1495"/>
      <c r="C78" s="1495"/>
      <c r="D78" s="275"/>
      <c r="K78" s="1034"/>
      <c r="L78" s="1495"/>
      <c r="M78" s="1495"/>
      <c r="N78" s="1034"/>
      <c r="O78" s="1034"/>
      <c r="P78" s="1034"/>
      <c r="Q78" s="1034"/>
      <c r="R78" s="1495"/>
      <c r="S78" s="1034"/>
      <c r="T78" s="1034"/>
      <c r="U78" s="471"/>
      <c r="V78" s="1034"/>
      <c r="W78" s="1034"/>
      <c r="X78" s="1034"/>
      <c r="Y78" s="1034"/>
      <c r="Z78" s="1034"/>
      <c r="AA78" s="1491"/>
      <c r="AB78" s="493"/>
      <c r="AC78" s="493"/>
      <c r="AD78" s="493"/>
      <c r="AE78" s="493"/>
    </row>
    <row r="79" spans="1:31" s="1708" customFormat="1" ht="11.25" customHeight="1">
      <c r="A79" s="880"/>
      <c r="B79" s="1495"/>
      <c r="C79" s="1495"/>
      <c r="D79" s="275"/>
      <c r="K79" s="1034"/>
      <c r="L79" s="1495"/>
      <c r="M79" s="1495"/>
      <c r="N79" s="1034"/>
      <c r="O79" s="1034"/>
      <c r="P79" s="1034"/>
      <c r="Q79" s="1034"/>
      <c r="R79" s="1495"/>
      <c r="S79" s="1034"/>
      <c r="T79" s="1034"/>
      <c r="U79" s="471"/>
      <c r="V79" s="1034"/>
      <c r="W79" s="1034"/>
      <c r="X79" s="1034"/>
      <c r="Y79" s="1034"/>
      <c r="Z79" s="1034"/>
      <c r="AA79" s="1491"/>
      <c r="AB79" s="493"/>
      <c r="AC79" s="493"/>
      <c r="AD79" s="493"/>
      <c r="AE79" s="493"/>
    </row>
    <row r="80" spans="1:31" s="1708" customFormat="1" ht="11.25" customHeight="1">
      <c r="A80" s="880"/>
      <c r="B80" s="1495"/>
      <c r="C80" s="1495"/>
      <c r="D80" s="275"/>
      <c r="K80" s="1034"/>
      <c r="L80" s="1495"/>
      <c r="M80" s="1495"/>
      <c r="N80" s="1034"/>
      <c r="O80" s="1034"/>
      <c r="P80" s="1034"/>
      <c r="Q80" s="1034"/>
      <c r="R80" s="1495"/>
      <c r="S80" s="1034"/>
      <c r="T80" s="1034"/>
      <c r="U80" s="471"/>
      <c r="V80" s="1034"/>
      <c r="W80" s="1034"/>
      <c r="X80" s="1034"/>
      <c r="Y80" s="1034"/>
      <c r="Z80" s="1034"/>
      <c r="AA80" s="1491"/>
      <c r="AB80" s="493"/>
      <c r="AC80" s="493"/>
      <c r="AD80" s="493"/>
      <c r="AE80" s="493"/>
    </row>
    <row r="81" spans="1:31" s="1708" customFormat="1" ht="11.25" customHeight="1">
      <c r="A81" s="880"/>
      <c r="B81" s="1495"/>
      <c r="C81" s="1495"/>
      <c r="D81" s="275"/>
      <c r="K81" s="1034"/>
      <c r="L81" s="1495"/>
      <c r="M81" s="1495"/>
      <c r="N81" s="1034"/>
      <c r="O81" s="1034"/>
      <c r="P81" s="1034"/>
      <c r="Q81" s="1034"/>
      <c r="R81" s="1495"/>
      <c r="S81" s="1034"/>
      <c r="T81" s="1034"/>
      <c r="U81" s="471"/>
      <c r="V81" s="1034"/>
      <c r="W81" s="1034"/>
      <c r="X81" s="1034"/>
      <c r="Y81" s="1034"/>
      <c r="Z81" s="1034"/>
      <c r="AA81" s="1491"/>
      <c r="AB81" s="493"/>
      <c r="AC81" s="493"/>
      <c r="AD81" s="493"/>
      <c r="AE81" s="493"/>
    </row>
    <row r="82" spans="1:31" s="1708" customFormat="1" ht="11.25" customHeight="1">
      <c r="A82" s="880"/>
      <c r="B82" s="1495"/>
      <c r="C82" s="1495"/>
      <c r="D82" s="275"/>
      <c r="K82" s="1034"/>
      <c r="L82" s="1495"/>
      <c r="M82" s="1495"/>
      <c r="N82" s="1034"/>
      <c r="O82" s="1034"/>
      <c r="P82" s="1034"/>
      <c r="Q82" s="1034"/>
      <c r="R82" s="1495"/>
      <c r="S82" s="1034"/>
      <c r="T82" s="1034"/>
      <c r="U82" s="471"/>
      <c r="V82" s="1034"/>
      <c r="W82" s="1034"/>
      <c r="X82" s="1034"/>
      <c r="Y82" s="1034"/>
      <c r="Z82" s="1034"/>
      <c r="AA82" s="1491"/>
      <c r="AB82" s="493"/>
      <c r="AC82" s="493"/>
      <c r="AD82" s="493"/>
      <c r="AE82" s="493"/>
    </row>
    <row r="83" spans="1:31" s="1708" customFormat="1" ht="11.25" customHeight="1">
      <c r="A83" s="880"/>
      <c r="B83" s="1495"/>
      <c r="C83" s="1495"/>
      <c r="D83" s="275"/>
      <c r="K83" s="1034"/>
      <c r="L83" s="1495"/>
      <c r="M83" s="1495"/>
      <c r="N83" s="1034"/>
      <c r="O83" s="1034"/>
      <c r="P83" s="1034"/>
      <c r="Q83" s="1034"/>
      <c r="R83" s="1495"/>
      <c r="S83" s="1034"/>
      <c r="T83" s="1034"/>
      <c r="U83" s="471"/>
      <c r="V83" s="1034"/>
      <c r="W83" s="1034"/>
      <c r="X83" s="1034"/>
      <c r="Y83" s="1034"/>
      <c r="Z83" s="1034"/>
      <c r="AA83" s="1491"/>
      <c r="AB83" s="493"/>
      <c r="AC83" s="493"/>
      <c r="AD83" s="493"/>
      <c r="AE83" s="493"/>
    </row>
    <row r="84" spans="1:31" s="1708" customFormat="1" ht="11.25" customHeight="1">
      <c r="A84" s="880"/>
      <c r="B84" s="1495"/>
      <c r="C84" s="1495"/>
      <c r="D84" s="275"/>
      <c r="K84" s="1034"/>
      <c r="L84" s="1495"/>
      <c r="M84" s="1495"/>
      <c r="N84" s="1034"/>
      <c r="O84" s="1034"/>
      <c r="P84" s="1034"/>
      <c r="Q84" s="1034"/>
      <c r="R84" s="1495"/>
      <c r="S84" s="1034"/>
      <c r="T84" s="1034"/>
      <c r="U84" s="471"/>
      <c r="V84" s="1034"/>
      <c r="W84" s="1034"/>
      <c r="X84" s="1034"/>
      <c r="Y84" s="1034"/>
      <c r="Z84" s="1034"/>
      <c r="AA84" s="1491"/>
      <c r="AB84" s="493"/>
      <c r="AC84" s="493"/>
      <c r="AD84" s="493"/>
      <c r="AE84" s="493"/>
    </row>
    <row r="85" spans="1:31" s="1708" customFormat="1" ht="11.25" customHeight="1">
      <c r="A85" s="880"/>
      <c r="B85" s="1495"/>
      <c r="C85" s="1495"/>
      <c r="D85" s="275"/>
      <c r="K85" s="1034"/>
      <c r="L85" s="1495"/>
      <c r="M85" s="1495"/>
      <c r="N85" s="1034"/>
      <c r="O85" s="1034"/>
      <c r="P85" s="1034"/>
      <c r="Q85" s="1034"/>
      <c r="R85" s="1495"/>
      <c r="S85" s="1034"/>
      <c r="T85" s="1034"/>
      <c r="U85" s="471"/>
      <c r="V85" s="1034"/>
      <c r="W85" s="1034"/>
      <c r="X85" s="1034"/>
      <c r="Y85" s="1034"/>
      <c r="Z85" s="1034"/>
      <c r="AA85" s="1491"/>
      <c r="AB85" s="493"/>
      <c r="AC85" s="493"/>
      <c r="AD85" s="493"/>
      <c r="AE85" s="493"/>
    </row>
    <row r="86" spans="1:31" s="1708" customFormat="1" ht="11.25" customHeight="1">
      <c r="A86" s="880"/>
      <c r="B86" s="1495"/>
      <c r="C86" s="1495"/>
      <c r="D86" s="275"/>
      <c r="K86" s="1034"/>
      <c r="L86" s="1495"/>
      <c r="M86" s="1495"/>
      <c r="N86" s="1034"/>
      <c r="O86" s="1034"/>
      <c r="P86" s="1034"/>
      <c r="Q86" s="1034"/>
      <c r="R86" s="1495"/>
      <c r="S86" s="1034"/>
      <c r="T86" s="1034"/>
      <c r="U86" s="471"/>
      <c r="V86" s="1034"/>
      <c r="W86" s="1034"/>
      <c r="X86" s="1034"/>
      <c r="Y86" s="1034"/>
      <c r="Z86" s="1034"/>
      <c r="AA86" s="1491"/>
      <c r="AB86" s="493"/>
      <c r="AC86" s="493"/>
      <c r="AD86" s="493"/>
      <c r="AE86" s="493"/>
    </row>
    <row r="87" spans="1:31" s="1708" customFormat="1" ht="11.25" customHeight="1">
      <c r="A87" s="880"/>
      <c r="B87" s="1495"/>
      <c r="C87" s="1495"/>
      <c r="D87" s="275"/>
      <c r="K87" s="1034"/>
      <c r="L87" s="1495"/>
      <c r="M87" s="1495"/>
      <c r="N87" s="1034"/>
      <c r="O87" s="1034"/>
      <c r="P87" s="1034"/>
      <c r="Q87" s="1034"/>
      <c r="R87" s="1495"/>
      <c r="S87" s="1034"/>
      <c r="T87" s="1034"/>
      <c r="U87" s="471"/>
      <c r="V87" s="1034"/>
      <c r="W87" s="1034"/>
      <c r="X87" s="1034"/>
      <c r="Y87" s="1034"/>
      <c r="Z87" s="1034"/>
      <c r="AA87" s="1491"/>
      <c r="AB87" s="493"/>
      <c r="AC87" s="493"/>
      <c r="AD87" s="493"/>
      <c r="AE87" s="493"/>
    </row>
    <row r="88" spans="1:31" s="1708" customFormat="1" ht="11.25" customHeight="1">
      <c r="A88" s="880"/>
      <c r="B88" s="1495"/>
      <c r="C88" s="1495"/>
      <c r="D88" s="275"/>
      <c r="K88" s="1034"/>
      <c r="L88" s="1495"/>
      <c r="M88" s="1495"/>
      <c r="N88" s="1034"/>
      <c r="O88" s="1034"/>
      <c r="P88" s="1034"/>
      <c r="Q88" s="1034"/>
      <c r="R88" s="1495"/>
      <c r="S88" s="1034"/>
      <c r="T88" s="1034"/>
      <c r="U88" s="471"/>
      <c r="V88" s="1034"/>
      <c r="W88" s="1034"/>
      <c r="X88" s="1034"/>
      <c r="Y88" s="1034"/>
      <c r="Z88" s="1034"/>
      <c r="AA88" s="1491"/>
      <c r="AB88" s="493"/>
      <c r="AC88" s="493"/>
      <c r="AD88" s="493"/>
      <c r="AE88" s="493"/>
    </row>
    <row r="89" spans="1:31" s="1708" customFormat="1" ht="11.25" customHeight="1">
      <c r="A89" s="880"/>
      <c r="B89" s="1495"/>
      <c r="C89" s="1495"/>
      <c r="D89" s="275"/>
      <c r="K89" s="1034"/>
      <c r="L89" s="1495"/>
      <c r="M89" s="1495"/>
      <c r="N89" s="1034"/>
      <c r="O89" s="1034"/>
      <c r="P89" s="1034"/>
      <c r="Q89" s="1034"/>
      <c r="R89" s="1495"/>
      <c r="S89" s="1034"/>
      <c r="T89" s="1034"/>
      <c r="U89" s="471"/>
      <c r="V89" s="1034"/>
      <c r="W89" s="1034"/>
      <c r="X89" s="1034"/>
      <c r="Y89" s="1034"/>
      <c r="Z89" s="1034"/>
      <c r="AA89" s="1491"/>
      <c r="AB89" s="493"/>
      <c r="AC89" s="493"/>
      <c r="AD89" s="493"/>
      <c r="AE89" s="493"/>
    </row>
    <row r="90" spans="1:31" s="1708" customFormat="1" ht="11.25" customHeight="1">
      <c r="A90" s="880"/>
      <c r="B90" s="1495"/>
      <c r="C90" s="1495"/>
      <c r="D90" s="275"/>
      <c r="K90" s="1034"/>
      <c r="L90" s="1495"/>
      <c r="M90" s="1495"/>
      <c r="N90" s="1034"/>
      <c r="O90" s="1034"/>
      <c r="P90" s="1034"/>
      <c r="Q90" s="1034"/>
      <c r="R90" s="1495"/>
      <c r="S90" s="1034"/>
      <c r="T90" s="1034"/>
      <c r="U90" s="471"/>
      <c r="V90" s="1034"/>
      <c r="W90" s="1034"/>
      <c r="X90" s="1034"/>
      <c r="Y90" s="1034"/>
      <c r="Z90" s="1034"/>
      <c r="AA90" s="1491"/>
      <c r="AB90" s="493"/>
      <c r="AC90" s="493"/>
      <c r="AD90" s="493"/>
      <c r="AE90" s="493"/>
    </row>
    <row r="91" spans="1:31" s="1708" customFormat="1" ht="11.25" customHeight="1">
      <c r="A91" s="880"/>
      <c r="B91" s="1495"/>
      <c r="C91" s="1495"/>
      <c r="D91" s="275"/>
      <c r="K91" s="1034"/>
      <c r="L91" s="1495"/>
      <c r="M91" s="1495"/>
      <c r="N91" s="1034"/>
      <c r="O91" s="1034"/>
      <c r="P91" s="1034"/>
      <c r="Q91" s="1034"/>
      <c r="R91" s="1495"/>
      <c r="S91" s="1034"/>
      <c r="T91" s="1034"/>
      <c r="U91" s="471"/>
      <c r="V91" s="1034"/>
      <c r="W91" s="1034"/>
      <c r="X91" s="1034"/>
      <c r="Y91" s="1034"/>
      <c r="Z91" s="1034"/>
      <c r="AA91" s="1491"/>
      <c r="AB91" s="493"/>
      <c r="AC91" s="493"/>
      <c r="AD91" s="493"/>
      <c r="AE91" s="493"/>
    </row>
    <row r="92" spans="1:31" s="1708" customFormat="1" ht="11.25" customHeight="1">
      <c r="A92" s="880"/>
      <c r="B92" s="1495"/>
      <c r="C92" s="1495"/>
      <c r="D92" s="275"/>
      <c r="K92" s="1034"/>
      <c r="L92" s="1495"/>
      <c r="M92" s="1495"/>
      <c r="N92" s="1034"/>
      <c r="O92" s="1034"/>
      <c r="P92" s="1034"/>
      <c r="Q92" s="1034"/>
      <c r="R92" s="1495"/>
      <c r="S92" s="1034"/>
      <c r="T92" s="1034"/>
      <c r="U92" s="471"/>
      <c r="V92" s="1034"/>
      <c r="W92" s="1034"/>
      <c r="X92" s="1034"/>
      <c r="Y92" s="1034"/>
      <c r="Z92" s="1034"/>
      <c r="AA92" s="1491"/>
      <c r="AB92" s="493"/>
      <c r="AC92" s="493"/>
      <c r="AD92" s="493"/>
      <c r="AE92" s="493"/>
    </row>
    <row r="93" spans="1:31" s="1708" customFormat="1" ht="11.25" customHeight="1">
      <c r="A93" s="880"/>
      <c r="B93" s="1495"/>
      <c r="C93" s="1495"/>
      <c r="D93" s="275"/>
      <c r="K93" s="1034"/>
      <c r="L93" s="1495"/>
      <c r="M93" s="1495"/>
      <c r="N93" s="1034"/>
      <c r="O93" s="1034"/>
      <c r="P93" s="1034"/>
      <c r="Q93" s="1034"/>
      <c r="R93" s="1495"/>
      <c r="S93" s="1034"/>
      <c r="T93" s="1034"/>
      <c r="U93" s="471"/>
      <c r="V93" s="1034"/>
      <c r="W93" s="1034"/>
      <c r="X93" s="1034"/>
      <c r="Y93" s="1034"/>
      <c r="Z93" s="1034"/>
      <c r="AA93" s="1491"/>
      <c r="AB93" s="493"/>
      <c r="AC93" s="493"/>
      <c r="AD93" s="493"/>
      <c r="AE93" s="493"/>
    </row>
    <row r="94" spans="1:31" s="1708" customFormat="1" ht="11.25" customHeight="1">
      <c r="A94" s="880"/>
      <c r="B94" s="1495"/>
      <c r="C94" s="1495"/>
      <c r="D94" s="275"/>
      <c r="K94" s="1034"/>
      <c r="L94" s="1495"/>
      <c r="M94" s="1495"/>
      <c r="N94" s="1034"/>
      <c r="O94" s="1034"/>
      <c r="P94" s="1034"/>
      <c r="Q94" s="1034"/>
      <c r="R94" s="1495"/>
      <c r="S94" s="1034"/>
      <c r="T94" s="1034"/>
      <c r="U94" s="471"/>
      <c r="V94" s="1034"/>
      <c r="W94" s="1034"/>
      <c r="X94" s="1034"/>
      <c r="Y94" s="1034"/>
      <c r="Z94" s="1034"/>
      <c r="AA94" s="1491"/>
      <c r="AB94" s="493"/>
      <c r="AC94" s="493"/>
      <c r="AD94" s="493"/>
      <c r="AE94" s="493"/>
    </row>
    <row r="95" spans="1:31" s="1708" customFormat="1" ht="11.25" customHeight="1">
      <c r="A95" s="880"/>
      <c r="B95" s="1495"/>
      <c r="C95" s="1495"/>
      <c r="D95" s="275"/>
      <c r="K95" s="1034"/>
      <c r="L95" s="1495"/>
      <c r="M95" s="1495"/>
      <c r="N95" s="1034"/>
      <c r="O95" s="1034"/>
      <c r="P95" s="1034"/>
      <c r="Q95" s="1034"/>
      <c r="R95" s="1495"/>
      <c r="S95" s="1034"/>
      <c r="T95" s="1034"/>
      <c r="U95" s="471"/>
      <c r="V95" s="1034"/>
      <c r="W95" s="1034"/>
      <c r="X95" s="1034"/>
      <c r="Y95" s="1034"/>
      <c r="Z95" s="1034"/>
      <c r="AA95" s="1491"/>
      <c r="AB95" s="493"/>
      <c r="AC95" s="493"/>
      <c r="AD95" s="493"/>
      <c r="AE95" s="493"/>
    </row>
    <row r="96" spans="1:31" s="1708" customFormat="1" ht="11.25" customHeight="1">
      <c r="A96" s="880"/>
      <c r="B96" s="1495"/>
      <c r="C96" s="1495"/>
      <c r="D96" s="275"/>
      <c r="K96" s="1034"/>
      <c r="L96" s="1495"/>
      <c r="M96" s="1495"/>
      <c r="N96" s="1034"/>
      <c r="O96" s="1034"/>
      <c r="P96" s="1034"/>
      <c r="Q96" s="1034"/>
      <c r="R96" s="1495"/>
      <c r="S96" s="1034"/>
      <c r="T96" s="1034"/>
      <c r="U96" s="471"/>
      <c r="V96" s="1034"/>
      <c r="W96" s="1034"/>
      <c r="X96" s="1034"/>
      <c r="Y96" s="1034"/>
      <c r="Z96" s="1034"/>
      <c r="AA96" s="1491"/>
      <c r="AB96" s="493"/>
      <c r="AC96" s="493"/>
      <c r="AD96" s="493"/>
      <c r="AE96" s="493"/>
    </row>
    <row r="97" spans="1:31" s="1708" customFormat="1" ht="11.25" customHeight="1">
      <c r="A97" s="880"/>
      <c r="B97" s="1495"/>
      <c r="C97" s="1495"/>
      <c r="D97" s="275"/>
      <c r="K97" s="1034"/>
      <c r="L97" s="1495"/>
      <c r="M97" s="1495"/>
      <c r="N97" s="1034"/>
      <c r="O97" s="1034"/>
      <c r="P97" s="1034"/>
      <c r="Q97" s="1034"/>
      <c r="R97" s="1495"/>
      <c r="S97" s="1034"/>
      <c r="T97" s="1034"/>
      <c r="U97" s="471"/>
      <c r="V97" s="1034"/>
      <c r="W97" s="1034"/>
      <c r="X97" s="1034"/>
      <c r="Y97" s="1034"/>
      <c r="Z97" s="1034"/>
      <c r="AA97" s="1491"/>
      <c r="AB97" s="493"/>
      <c r="AC97" s="493"/>
      <c r="AD97" s="493"/>
      <c r="AE97" s="493"/>
    </row>
    <row r="98" spans="1:31" s="1708" customFormat="1" ht="11.25" customHeight="1">
      <c r="A98" s="880"/>
      <c r="B98" s="1495"/>
      <c r="C98" s="1495"/>
      <c r="D98" s="275"/>
      <c r="K98" s="1034"/>
      <c r="L98" s="1495"/>
      <c r="M98" s="1495"/>
      <c r="N98" s="1034"/>
      <c r="O98" s="1034"/>
      <c r="P98" s="1034"/>
      <c r="Q98" s="1034"/>
      <c r="R98" s="1495"/>
      <c r="S98" s="1034"/>
      <c r="T98" s="1034"/>
      <c r="U98" s="471"/>
      <c r="V98" s="1034"/>
      <c r="W98" s="1034"/>
      <c r="X98" s="1034"/>
      <c r="Y98" s="1034"/>
      <c r="Z98" s="1034"/>
      <c r="AA98" s="1491"/>
      <c r="AB98" s="493"/>
      <c r="AC98" s="493"/>
      <c r="AD98" s="493"/>
      <c r="AE98" s="493"/>
    </row>
    <row r="99" spans="1:31" s="1708" customFormat="1" ht="11.25" customHeight="1">
      <c r="A99" s="880"/>
      <c r="B99" s="1495"/>
      <c r="C99" s="1495"/>
      <c r="D99" s="275"/>
      <c r="K99" s="1034"/>
      <c r="L99" s="1495"/>
      <c r="M99" s="1495"/>
      <c r="N99" s="1034"/>
      <c r="O99" s="1034"/>
      <c r="P99" s="1034"/>
      <c r="Q99" s="1034"/>
      <c r="R99" s="1495"/>
      <c r="S99" s="1034"/>
      <c r="T99" s="1034"/>
      <c r="U99" s="471"/>
      <c r="V99" s="1034"/>
      <c r="W99" s="1034"/>
      <c r="X99" s="1034"/>
      <c r="Y99" s="1034"/>
      <c r="Z99" s="1034"/>
      <c r="AA99" s="1491"/>
      <c r="AB99" s="493"/>
      <c r="AC99" s="493"/>
      <c r="AD99" s="493"/>
      <c r="AE99" s="493"/>
    </row>
    <row r="100" spans="1:31" s="1708" customFormat="1" ht="11.25" customHeight="1">
      <c r="A100" s="880"/>
      <c r="B100" s="1495"/>
      <c r="C100" s="1495"/>
      <c r="D100" s="275"/>
      <c r="K100" s="1034"/>
      <c r="L100" s="1495"/>
      <c r="M100" s="1495"/>
      <c r="N100" s="1034"/>
      <c r="O100" s="1034"/>
      <c r="P100" s="1034"/>
      <c r="Q100" s="1034"/>
      <c r="R100" s="1495"/>
      <c r="S100" s="1034"/>
      <c r="T100" s="1034"/>
      <c r="U100" s="471"/>
      <c r="V100" s="1034"/>
      <c r="W100" s="1034"/>
      <c r="X100" s="1034"/>
      <c r="Y100" s="1034"/>
      <c r="Z100" s="1034"/>
      <c r="AA100" s="1491"/>
      <c r="AB100" s="493"/>
      <c r="AC100" s="493"/>
      <c r="AD100" s="493"/>
      <c r="AE100" s="493"/>
    </row>
    <row r="101" spans="1:31" s="1708" customFormat="1" ht="11.25" customHeight="1">
      <c r="A101" s="880"/>
      <c r="B101" s="1495"/>
      <c r="C101" s="1495"/>
      <c r="D101" s="275"/>
      <c r="K101" s="1034"/>
      <c r="L101" s="1495"/>
      <c r="M101" s="1495"/>
      <c r="N101" s="1034"/>
      <c r="O101" s="1034"/>
      <c r="P101" s="1034"/>
      <c r="Q101" s="1034"/>
      <c r="R101" s="1495"/>
      <c r="S101" s="1034"/>
      <c r="T101" s="1034"/>
      <c r="U101" s="471"/>
      <c r="V101" s="1034"/>
      <c r="W101" s="1034"/>
      <c r="X101" s="1034"/>
      <c r="Y101" s="1034"/>
      <c r="Z101" s="1034"/>
      <c r="AA101" s="1491"/>
      <c r="AB101" s="493"/>
      <c r="AC101" s="493"/>
      <c r="AD101" s="493"/>
      <c r="AE101" s="493"/>
    </row>
    <row r="102" spans="1:31" s="1708" customFormat="1" ht="11.25" customHeight="1">
      <c r="A102" s="880"/>
      <c r="B102" s="1495"/>
      <c r="C102" s="1495"/>
      <c r="D102" s="275"/>
      <c r="K102" s="1034"/>
      <c r="L102" s="1495"/>
      <c r="M102" s="1495"/>
      <c r="N102" s="1034"/>
      <c r="O102" s="1034"/>
      <c r="P102" s="1034"/>
      <c r="Q102" s="1034"/>
      <c r="R102" s="1495"/>
      <c r="S102" s="1034"/>
      <c r="T102" s="1034"/>
      <c r="U102" s="471"/>
      <c r="V102" s="1034"/>
      <c r="W102" s="1034"/>
      <c r="X102" s="1034"/>
      <c r="Y102" s="1034"/>
      <c r="Z102" s="1034"/>
      <c r="AA102" s="1491"/>
      <c r="AB102" s="493"/>
      <c r="AC102" s="493"/>
      <c r="AD102" s="493"/>
      <c r="AE102" s="493"/>
    </row>
    <row r="103" spans="1:31" s="1708" customFormat="1" ht="11.25" customHeight="1">
      <c r="A103" s="880"/>
      <c r="B103" s="1495"/>
      <c r="C103" s="1495"/>
      <c r="D103" s="275"/>
      <c r="K103" s="1034"/>
      <c r="L103" s="1495"/>
      <c r="M103" s="1495"/>
      <c r="N103" s="1034"/>
      <c r="O103" s="1034"/>
      <c r="P103" s="1034"/>
      <c r="Q103" s="1034"/>
      <c r="R103" s="1495"/>
      <c r="S103" s="1034"/>
      <c r="T103" s="1034"/>
      <c r="U103" s="471"/>
      <c r="V103" s="1034"/>
      <c r="W103" s="1034"/>
      <c r="X103" s="1034"/>
      <c r="Y103" s="1034"/>
      <c r="Z103" s="1034"/>
      <c r="AA103" s="1491"/>
      <c r="AB103" s="493"/>
      <c r="AC103" s="493"/>
      <c r="AD103" s="493"/>
      <c r="AE103" s="493"/>
    </row>
    <row r="104" spans="1:31" s="1708" customFormat="1" ht="11.25" customHeight="1">
      <c r="A104" s="880"/>
      <c r="B104" s="1495"/>
      <c r="C104" s="1495"/>
      <c r="D104" s="275"/>
      <c r="K104" s="1034"/>
      <c r="L104" s="1495"/>
      <c r="M104" s="1495"/>
      <c r="N104" s="1034"/>
      <c r="O104" s="1034"/>
      <c r="P104" s="1034"/>
      <c r="Q104" s="1034"/>
      <c r="R104" s="1495"/>
      <c r="S104" s="1034"/>
      <c r="T104" s="1034"/>
      <c r="U104" s="471"/>
      <c r="V104" s="1034"/>
      <c r="W104" s="1034"/>
      <c r="X104" s="1034"/>
      <c r="Y104" s="1034"/>
      <c r="Z104" s="1034"/>
      <c r="AA104" s="1491"/>
      <c r="AB104" s="493"/>
      <c r="AC104" s="493"/>
      <c r="AD104" s="493"/>
      <c r="AE104" s="493"/>
    </row>
    <row r="105" spans="1:31" s="1708" customFormat="1" ht="11.25" customHeight="1">
      <c r="A105" s="880"/>
      <c r="B105" s="1495"/>
      <c r="C105" s="1495"/>
      <c r="D105" s="275"/>
      <c r="K105" s="1034"/>
      <c r="L105" s="1495"/>
      <c r="M105" s="1495"/>
      <c r="N105" s="1034"/>
      <c r="O105" s="1034"/>
      <c r="P105" s="1034"/>
      <c r="Q105" s="1034"/>
      <c r="R105" s="1495"/>
      <c r="S105" s="1034"/>
      <c r="T105" s="1034"/>
      <c r="U105" s="471"/>
      <c r="V105" s="1034"/>
      <c r="W105" s="1034"/>
      <c r="X105" s="1034"/>
      <c r="Y105" s="1034"/>
      <c r="Z105" s="1034"/>
      <c r="AA105" s="1491"/>
      <c r="AB105" s="493"/>
      <c r="AC105" s="493"/>
      <c r="AD105" s="493"/>
      <c r="AE105" s="493"/>
    </row>
    <row r="106" spans="1:31" s="1708" customFormat="1" ht="11.25" customHeight="1">
      <c r="A106" s="880"/>
      <c r="B106" s="1495"/>
      <c r="C106" s="1495"/>
      <c r="D106" s="275"/>
      <c r="K106" s="1034"/>
      <c r="L106" s="1495"/>
      <c r="M106" s="1495"/>
      <c r="N106" s="1034"/>
      <c r="O106" s="1034"/>
      <c r="P106" s="1034"/>
      <c r="Q106" s="1034"/>
      <c r="R106" s="1495"/>
      <c r="S106" s="1034"/>
      <c r="T106" s="1034"/>
      <c r="U106" s="471"/>
      <c r="V106" s="1034"/>
      <c r="W106" s="1034"/>
      <c r="X106" s="1034"/>
      <c r="Y106" s="1034"/>
      <c r="Z106" s="1034"/>
      <c r="AA106" s="1491"/>
      <c r="AB106" s="493"/>
      <c r="AC106" s="493"/>
      <c r="AD106" s="493"/>
      <c r="AE106" s="493"/>
    </row>
    <row r="107" spans="1:31" s="1708" customFormat="1" ht="11.25" customHeight="1">
      <c r="A107" s="880"/>
      <c r="B107" s="1495"/>
      <c r="C107" s="1495"/>
      <c r="D107" s="275"/>
      <c r="K107" s="1034"/>
      <c r="L107" s="1495"/>
      <c r="M107" s="1495"/>
      <c r="N107" s="1034"/>
      <c r="O107" s="1034"/>
      <c r="P107" s="1034"/>
      <c r="Q107" s="1034"/>
      <c r="R107" s="1495"/>
      <c r="S107" s="1034"/>
      <c r="T107" s="1034"/>
      <c r="U107" s="471"/>
      <c r="V107" s="1034"/>
      <c r="W107" s="1034"/>
      <c r="X107" s="1034"/>
      <c r="Y107" s="1034"/>
      <c r="Z107" s="1034"/>
      <c r="AA107" s="1491"/>
      <c r="AB107" s="493"/>
      <c r="AC107" s="493"/>
      <c r="AD107" s="493"/>
      <c r="AE107" s="493"/>
    </row>
    <row r="108" spans="1:31" s="1708" customFormat="1" ht="11.25" customHeight="1">
      <c r="A108" s="880"/>
      <c r="B108" s="1495"/>
      <c r="C108" s="1495"/>
      <c r="D108" s="275"/>
      <c r="K108" s="1034"/>
      <c r="L108" s="1495"/>
      <c r="M108" s="1495"/>
      <c r="N108" s="1034"/>
      <c r="O108" s="1034"/>
      <c r="P108" s="1034"/>
      <c r="Q108" s="1034"/>
      <c r="R108" s="1495"/>
      <c r="S108" s="1034"/>
      <c r="T108" s="1034"/>
      <c r="U108" s="471"/>
      <c r="V108" s="1034"/>
      <c r="W108" s="1034"/>
      <c r="X108" s="1034"/>
      <c r="Y108" s="1034"/>
      <c r="Z108" s="1034"/>
      <c r="AA108" s="1491"/>
      <c r="AB108" s="493"/>
      <c r="AC108" s="493"/>
      <c r="AD108" s="493"/>
      <c r="AE108" s="493"/>
    </row>
    <row r="109" spans="1:31" s="1708" customFormat="1" ht="11.25" customHeight="1">
      <c r="A109" s="880"/>
      <c r="B109" s="1495"/>
      <c r="C109" s="1495"/>
      <c r="D109" s="275"/>
      <c r="K109" s="1034"/>
      <c r="L109" s="1495"/>
      <c r="M109" s="1495"/>
      <c r="N109" s="1034"/>
      <c r="O109" s="1034"/>
      <c r="P109" s="1034"/>
      <c r="Q109" s="1034"/>
      <c r="R109" s="1495"/>
      <c r="S109" s="1034"/>
      <c r="T109" s="1034"/>
      <c r="U109" s="471"/>
      <c r="V109" s="1034"/>
      <c r="W109" s="1034"/>
      <c r="X109" s="1034"/>
      <c r="Y109" s="1034"/>
      <c r="Z109" s="1034"/>
      <c r="AA109" s="1491"/>
      <c r="AB109" s="493"/>
      <c r="AC109" s="493"/>
      <c r="AD109" s="493"/>
      <c r="AE109" s="493"/>
    </row>
    <row r="110" spans="1:31" s="1708" customFormat="1" ht="11.25" customHeight="1">
      <c r="A110" s="880"/>
      <c r="B110" s="1495"/>
      <c r="C110" s="1495"/>
      <c r="D110" s="275"/>
      <c r="K110" s="1034"/>
      <c r="L110" s="1495"/>
      <c r="M110" s="1495"/>
      <c r="N110" s="1034"/>
      <c r="O110" s="1034"/>
      <c r="P110" s="1034"/>
      <c r="Q110" s="1034"/>
      <c r="R110" s="1495"/>
      <c r="S110" s="1034"/>
      <c r="T110" s="1034"/>
      <c r="U110" s="471"/>
      <c r="V110" s="1034"/>
      <c r="W110" s="1034"/>
      <c r="X110" s="1034"/>
      <c r="Y110" s="1034"/>
      <c r="Z110" s="1034"/>
      <c r="AA110" s="1491"/>
      <c r="AB110" s="493"/>
      <c r="AC110" s="493"/>
      <c r="AD110" s="493"/>
      <c r="AE110" s="493"/>
    </row>
    <row r="111" spans="1:31" s="1708" customFormat="1" ht="11.25" customHeight="1">
      <c r="A111" s="880"/>
      <c r="B111" s="1495"/>
      <c r="C111" s="1495"/>
      <c r="D111" s="275"/>
      <c r="K111" s="1034"/>
      <c r="L111" s="1495"/>
      <c r="M111" s="1495"/>
      <c r="N111" s="1034"/>
      <c r="O111" s="1034"/>
      <c r="P111" s="1034"/>
      <c r="Q111" s="1034"/>
      <c r="R111" s="1495"/>
      <c r="S111" s="1034"/>
      <c r="T111" s="1034"/>
      <c r="U111" s="471"/>
      <c r="V111" s="1034"/>
      <c r="W111" s="1034"/>
      <c r="X111" s="1034"/>
      <c r="Y111" s="1034"/>
      <c r="Z111" s="1034"/>
      <c r="AA111" s="1491"/>
      <c r="AB111" s="493"/>
      <c r="AC111" s="493"/>
      <c r="AD111" s="493"/>
      <c r="AE111" s="493"/>
    </row>
    <row r="112" spans="1:31" s="1708" customFormat="1" ht="11.25" customHeight="1">
      <c r="A112" s="880"/>
      <c r="B112" s="1495"/>
      <c r="C112" s="1495"/>
      <c r="D112" s="275"/>
      <c r="K112" s="1034"/>
      <c r="L112" s="1495"/>
      <c r="M112" s="1495"/>
      <c r="N112" s="1034"/>
      <c r="O112" s="1034"/>
      <c r="P112" s="1034"/>
      <c r="Q112" s="1034"/>
      <c r="R112" s="1495"/>
      <c r="S112" s="1034"/>
      <c r="T112" s="1034"/>
      <c r="U112" s="471"/>
      <c r="V112" s="1034"/>
      <c r="W112" s="1034"/>
      <c r="X112" s="1034"/>
      <c r="Y112" s="1034"/>
      <c r="Z112" s="1034"/>
      <c r="AA112" s="1491"/>
      <c r="AB112" s="493"/>
      <c r="AC112" s="493"/>
      <c r="AD112" s="493"/>
      <c r="AE112" s="493"/>
    </row>
    <row r="113" spans="1:31" s="1708" customFormat="1" ht="11.25" customHeight="1">
      <c r="A113" s="880"/>
      <c r="B113" s="1495"/>
      <c r="C113" s="1495"/>
      <c r="D113" s="275"/>
      <c r="K113" s="1034"/>
      <c r="L113" s="1495"/>
      <c r="M113" s="1495"/>
      <c r="N113" s="1034"/>
      <c r="O113" s="1034"/>
      <c r="P113" s="1034"/>
      <c r="Q113" s="1034"/>
      <c r="R113" s="1495"/>
      <c r="S113" s="1034"/>
      <c r="T113" s="1034"/>
      <c r="U113" s="471"/>
      <c r="V113" s="1034"/>
      <c r="W113" s="1034"/>
      <c r="X113" s="1034"/>
      <c r="Y113" s="1034"/>
      <c r="Z113" s="1034"/>
      <c r="AA113" s="1491"/>
      <c r="AB113" s="493"/>
      <c r="AC113" s="493"/>
      <c r="AD113" s="493"/>
      <c r="AE113" s="493"/>
    </row>
    <row r="114" spans="1:31" s="1708" customFormat="1" ht="11.25" customHeight="1">
      <c r="A114" s="880"/>
      <c r="B114" s="1495"/>
      <c r="C114" s="1495"/>
      <c r="D114" s="275"/>
      <c r="K114" s="1034"/>
      <c r="L114" s="1495"/>
      <c r="M114" s="1495"/>
      <c r="N114" s="1034"/>
      <c r="O114" s="1034"/>
      <c r="P114" s="1034"/>
      <c r="Q114" s="1034"/>
      <c r="R114" s="1495"/>
      <c r="S114" s="1034"/>
      <c r="T114" s="1034"/>
      <c r="U114" s="471"/>
      <c r="V114" s="1034"/>
      <c r="W114" s="1034"/>
      <c r="X114" s="1034"/>
      <c r="Y114" s="1034"/>
      <c r="Z114" s="1034"/>
      <c r="AA114" s="1491"/>
      <c r="AB114" s="493"/>
      <c r="AC114" s="493"/>
      <c r="AD114" s="493"/>
      <c r="AE114" s="493"/>
    </row>
    <row r="115" spans="1:31" s="1708" customFormat="1" ht="11.25" customHeight="1">
      <c r="A115" s="880"/>
      <c r="B115" s="1495"/>
      <c r="C115" s="1495"/>
      <c r="D115" s="275"/>
      <c r="K115" s="1034"/>
      <c r="L115" s="1495"/>
      <c r="M115" s="1495"/>
      <c r="N115" s="1034"/>
      <c r="O115" s="1034"/>
      <c r="P115" s="1034"/>
      <c r="Q115" s="1034"/>
      <c r="R115" s="1495"/>
      <c r="S115" s="1034"/>
      <c r="T115" s="1034"/>
      <c r="U115" s="471"/>
      <c r="V115" s="1034"/>
      <c r="W115" s="1034"/>
      <c r="X115" s="1034"/>
      <c r="Y115" s="1034"/>
      <c r="Z115" s="1034"/>
      <c r="AA115" s="1491"/>
      <c r="AB115" s="493"/>
      <c r="AC115" s="493"/>
      <c r="AD115" s="493"/>
      <c r="AE115" s="493"/>
    </row>
    <row r="116" spans="1:31" s="1708" customFormat="1" ht="11.25" customHeight="1">
      <c r="A116" s="880"/>
      <c r="B116" s="1495"/>
      <c r="C116" s="1495"/>
      <c r="D116" s="275"/>
      <c r="K116" s="1034"/>
      <c r="L116" s="1495"/>
      <c r="M116" s="1495"/>
      <c r="N116" s="1034"/>
      <c r="O116" s="1034"/>
      <c r="P116" s="1034"/>
      <c r="Q116" s="1034"/>
      <c r="R116" s="1495"/>
      <c r="S116" s="1034"/>
      <c r="T116" s="1034"/>
      <c r="U116" s="471"/>
      <c r="V116" s="1034"/>
      <c r="W116" s="1034"/>
      <c r="X116" s="1034"/>
      <c r="Y116" s="1034"/>
      <c r="Z116" s="1034"/>
      <c r="AA116" s="1491"/>
      <c r="AB116" s="493"/>
      <c r="AC116" s="493"/>
      <c r="AD116" s="493"/>
      <c r="AE116" s="493"/>
    </row>
    <row r="117" spans="1:31" s="1708" customFormat="1" ht="11.25" customHeight="1">
      <c r="A117" s="880"/>
      <c r="B117" s="1495"/>
      <c r="C117" s="1495"/>
      <c r="D117" s="275"/>
      <c r="K117" s="1034"/>
      <c r="L117" s="1495"/>
      <c r="M117" s="1495"/>
      <c r="N117" s="1034"/>
      <c r="O117" s="1034"/>
      <c r="P117" s="1034"/>
      <c r="Q117" s="1034"/>
      <c r="R117" s="1495"/>
      <c r="S117" s="1034"/>
      <c r="T117" s="1034"/>
      <c r="U117" s="471"/>
      <c r="V117" s="1034"/>
      <c r="W117" s="1034"/>
      <c r="X117" s="1034"/>
      <c r="Y117" s="1034"/>
      <c r="Z117" s="1034"/>
      <c r="AA117" s="1491"/>
      <c r="AB117" s="493"/>
      <c r="AC117" s="493"/>
      <c r="AD117" s="493"/>
      <c r="AE117" s="493"/>
    </row>
    <row r="118" spans="1:31" s="1708" customFormat="1" ht="11.25" customHeight="1">
      <c r="A118" s="880"/>
      <c r="B118" s="1495"/>
      <c r="C118" s="1495"/>
      <c r="D118" s="275"/>
      <c r="K118" s="1034"/>
      <c r="L118" s="1495"/>
      <c r="M118" s="1495"/>
      <c r="N118" s="1034"/>
      <c r="O118" s="1034"/>
      <c r="P118" s="1034"/>
      <c r="Q118" s="1034"/>
      <c r="R118" s="1495"/>
      <c r="S118" s="1034"/>
      <c r="T118" s="1034"/>
      <c r="U118" s="471"/>
      <c r="V118" s="1034"/>
      <c r="W118" s="1034"/>
      <c r="X118" s="1034"/>
      <c r="Y118" s="1034"/>
      <c r="Z118" s="1034"/>
      <c r="AA118" s="1491"/>
      <c r="AB118" s="493"/>
      <c r="AC118" s="493"/>
      <c r="AD118" s="493"/>
      <c r="AE118" s="493"/>
    </row>
    <row r="119" spans="1:31" s="1708" customFormat="1" ht="11.25" customHeight="1">
      <c r="A119" s="880"/>
      <c r="B119" s="1495"/>
      <c r="C119" s="1495"/>
      <c r="D119" s="275"/>
      <c r="K119" s="1034"/>
      <c r="L119" s="1495"/>
      <c r="M119" s="1495"/>
      <c r="N119" s="1034"/>
      <c r="O119" s="1034"/>
      <c r="P119" s="1034"/>
      <c r="Q119" s="1034"/>
      <c r="R119" s="1495"/>
      <c r="S119" s="1034"/>
      <c r="T119" s="1034"/>
      <c r="U119" s="471"/>
      <c r="V119" s="1034"/>
      <c r="W119" s="1034"/>
      <c r="X119" s="1034"/>
      <c r="Y119" s="1034"/>
      <c r="Z119" s="1034"/>
      <c r="AA119" s="1491"/>
      <c r="AB119" s="493"/>
      <c r="AC119" s="493"/>
      <c r="AD119" s="493"/>
      <c r="AE119" s="493"/>
    </row>
    <row r="120" spans="1:31" s="1708" customFormat="1" ht="11.25" customHeight="1">
      <c r="A120" s="880"/>
      <c r="B120" s="1495"/>
      <c r="C120" s="1495"/>
      <c r="D120" s="275"/>
      <c r="K120" s="1034"/>
      <c r="L120" s="1495"/>
      <c r="M120" s="1495"/>
      <c r="N120" s="1034"/>
      <c r="O120" s="1034"/>
      <c r="P120" s="1034"/>
      <c r="Q120" s="1034"/>
      <c r="R120" s="1495"/>
      <c r="S120" s="1034"/>
      <c r="T120" s="1034"/>
      <c r="U120" s="471"/>
      <c r="V120" s="1034"/>
      <c r="W120" s="1034"/>
      <c r="X120" s="1034"/>
      <c r="Y120" s="1034"/>
      <c r="Z120" s="1034"/>
      <c r="AA120" s="1491"/>
      <c r="AB120" s="493"/>
      <c r="AC120" s="493"/>
      <c r="AD120" s="493"/>
      <c r="AE120" s="493"/>
    </row>
    <row r="121" spans="1:31" s="1708" customFormat="1" ht="11.25" customHeight="1">
      <c r="A121" s="880"/>
      <c r="B121" s="1495"/>
      <c r="C121" s="1495"/>
      <c r="D121" s="275"/>
      <c r="K121" s="1034"/>
      <c r="L121" s="1495"/>
      <c r="M121" s="1495"/>
      <c r="N121" s="1034"/>
      <c r="O121" s="1034"/>
      <c r="P121" s="1034"/>
      <c r="Q121" s="1034"/>
      <c r="R121" s="1495"/>
      <c r="S121" s="1034"/>
      <c r="T121" s="1034"/>
      <c r="U121" s="471"/>
      <c r="V121" s="1034"/>
      <c r="W121" s="1034"/>
      <c r="X121" s="1034"/>
      <c r="Y121" s="1034"/>
      <c r="Z121" s="1034"/>
      <c r="AA121" s="1491"/>
      <c r="AB121" s="493"/>
      <c r="AC121" s="493"/>
      <c r="AD121" s="493"/>
      <c r="AE121" s="493"/>
    </row>
    <row r="122" spans="1:31" s="1708" customFormat="1" ht="11.25" customHeight="1">
      <c r="A122" s="880"/>
      <c r="B122" s="1495"/>
      <c r="C122" s="1495"/>
      <c r="D122" s="275"/>
      <c r="K122" s="1034"/>
      <c r="L122" s="1495"/>
      <c r="M122" s="1495"/>
      <c r="N122" s="1034"/>
      <c r="O122" s="1034"/>
      <c r="P122" s="1034"/>
      <c r="Q122" s="1034"/>
      <c r="R122" s="1495"/>
      <c r="S122" s="1034"/>
      <c r="T122" s="1034"/>
      <c r="U122" s="471"/>
      <c r="V122" s="1034"/>
      <c r="W122" s="1034"/>
      <c r="X122" s="1034"/>
      <c r="Y122" s="1034"/>
      <c r="Z122" s="1034"/>
      <c r="AA122" s="1491"/>
      <c r="AB122" s="493"/>
      <c r="AC122" s="493"/>
      <c r="AD122" s="493"/>
      <c r="AE122" s="493"/>
    </row>
    <row r="123" spans="1:31" s="1708" customFormat="1" ht="11.25" customHeight="1">
      <c r="A123" s="880"/>
      <c r="B123" s="1495"/>
      <c r="C123" s="1495"/>
      <c r="D123" s="275"/>
      <c r="K123" s="1034"/>
      <c r="L123" s="1495"/>
      <c r="M123" s="1495"/>
      <c r="N123" s="1034"/>
      <c r="O123" s="1034"/>
      <c r="P123" s="1034"/>
      <c r="Q123" s="1034"/>
      <c r="R123" s="1495"/>
      <c r="S123" s="1034"/>
      <c r="T123" s="1034"/>
      <c r="U123" s="471"/>
      <c r="V123" s="1034"/>
      <c r="W123" s="1034"/>
      <c r="X123" s="1034"/>
      <c r="Y123" s="1034"/>
      <c r="Z123" s="1034"/>
      <c r="AA123" s="1491"/>
      <c r="AB123" s="493"/>
      <c r="AC123" s="493"/>
      <c r="AD123" s="493"/>
      <c r="AE123" s="493"/>
    </row>
    <row r="124" spans="1:31" s="1708" customFormat="1" ht="11.25" customHeight="1">
      <c r="A124" s="880"/>
      <c r="B124" s="1495"/>
      <c r="C124" s="1495"/>
      <c r="D124" s="275"/>
      <c r="K124" s="1034"/>
      <c r="L124" s="1495"/>
      <c r="M124" s="1495"/>
      <c r="N124" s="1034"/>
      <c r="O124" s="1034"/>
      <c r="P124" s="1034"/>
      <c r="Q124" s="1034"/>
      <c r="R124" s="1495"/>
      <c r="S124" s="1034"/>
      <c r="T124" s="1034"/>
      <c r="U124" s="471"/>
      <c r="V124" s="1034"/>
      <c r="W124" s="1034"/>
      <c r="X124" s="1034"/>
      <c r="Y124" s="1034"/>
      <c r="Z124" s="1034"/>
      <c r="AA124" s="1491"/>
      <c r="AB124" s="493"/>
      <c r="AC124" s="493"/>
      <c r="AD124" s="493"/>
      <c r="AE124" s="493"/>
    </row>
    <row r="125" spans="1:31" s="1708" customFormat="1" ht="11.25" customHeight="1">
      <c r="A125" s="880"/>
      <c r="B125" s="1495"/>
      <c r="C125" s="1495"/>
      <c r="D125" s="275"/>
      <c r="K125" s="1034"/>
      <c r="L125" s="1495"/>
      <c r="M125" s="1495"/>
      <c r="N125" s="1034"/>
      <c r="O125" s="1034"/>
      <c r="P125" s="1034"/>
      <c r="Q125" s="1034"/>
      <c r="R125" s="1495"/>
      <c r="S125" s="1034"/>
      <c r="T125" s="1034"/>
      <c r="U125" s="471"/>
      <c r="V125" s="1034"/>
      <c r="W125" s="1034"/>
      <c r="X125" s="1034"/>
      <c r="Y125" s="1034"/>
      <c r="Z125" s="1034"/>
      <c r="AA125" s="1491"/>
      <c r="AB125" s="493"/>
      <c r="AC125" s="493"/>
      <c r="AD125" s="493"/>
      <c r="AE125" s="493"/>
    </row>
    <row r="126" spans="1:31" s="1708" customFormat="1" ht="11.25" customHeight="1">
      <c r="A126" s="880"/>
      <c r="B126" s="1495"/>
      <c r="C126" s="1495"/>
      <c r="D126" s="275"/>
      <c r="K126" s="1034"/>
      <c r="L126" s="1495"/>
      <c r="M126" s="1495"/>
      <c r="N126" s="1034"/>
      <c r="O126" s="1034"/>
      <c r="P126" s="1034"/>
      <c r="Q126" s="1034"/>
      <c r="R126" s="1495"/>
      <c r="S126" s="1034"/>
      <c r="T126" s="1034"/>
      <c r="U126" s="471"/>
      <c r="V126" s="1034"/>
      <c r="W126" s="1034"/>
      <c r="X126" s="1034"/>
      <c r="Y126" s="1034"/>
      <c r="Z126" s="1034"/>
      <c r="AA126" s="1491"/>
      <c r="AB126" s="493"/>
      <c r="AC126" s="493"/>
      <c r="AD126" s="493"/>
      <c r="AE126" s="493"/>
    </row>
    <row r="127" spans="1:31" s="1708" customFormat="1" ht="11.25" customHeight="1">
      <c r="A127" s="880"/>
      <c r="B127" s="1495"/>
      <c r="C127" s="1495"/>
      <c r="D127" s="275"/>
      <c r="K127" s="1034"/>
      <c r="L127" s="1495"/>
      <c r="M127" s="1495"/>
      <c r="N127" s="1034"/>
      <c r="O127" s="1034"/>
      <c r="P127" s="1034"/>
      <c r="Q127" s="1034"/>
      <c r="R127" s="1495"/>
      <c r="S127" s="1034"/>
      <c r="T127" s="1034"/>
      <c r="U127" s="471"/>
      <c r="V127" s="1034"/>
      <c r="W127" s="1034"/>
      <c r="X127" s="1034"/>
      <c r="Y127" s="1034"/>
      <c r="Z127" s="1034"/>
      <c r="AA127" s="1491"/>
      <c r="AB127" s="493"/>
      <c r="AC127" s="493"/>
      <c r="AD127" s="493"/>
      <c r="AE127" s="493"/>
    </row>
    <row r="128" spans="1:31" s="1708" customFormat="1" ht="11.25" customHeight="1">
      <c r="A128" s="880"/>
      <c r="B128" s="1495"/>
      <c r="C128" s="1495"/>
      <c r="D128" s="275"/>
      <c r="K128" s="1034"/>
      <c r="L128" s="1495"/>
      <c r="M128" s="1495"/>
      <c r="N128" s="1034"/>
      <c r="O128" s="1034"/>
      <c r="P128" s="1034"/>
      <c r="Q128" s="1034"/>
      <c r="R128" s="1495"/>
      <c r="S128" s="1034"/>
      <c r="T128" s="1034"/>
      <c r="U128" s="471"/>
      <c r="V128" s="1034"/>
      <c r="W128" s="1034"/>
      <c r="X128" s="1034"/>
      <c r="Y128" s="1034"/>
      <c r="Z128" s="1034"/>
      <c r="AA128" s="1491"/>
      <c r="AB128" s="493"/>
      <c r="AC128" s="493"/>
      <c r="AD128" s="493"/>
      <c r="AE128" s="493"/>
    </row>
    <row r="129" spans="1:31" s="1708" customFormat="1" ht="11.25" customHeight="1">
      <c r="A129" s="880"/>
      <c r="B129" s="1495"/>
      <c r="C129" s="1495"/>
      <c r="D129" s="275"/>
      <c r="K129" s="1034"/>
      <c r="L129" s="1495"/>
      <c r="M129" s="1495"/>
      <c r="N129" s="1034"/>
      <c r="O129" s="1034"/>
      <c r="P129" s="1034"/>
      <c r="Q129" s="1034"/>
      <c r="R129" s="1495"/>
      <c r="S129" s="1034"/>
      <c r="T129" s="1034"/>
      <c r="U129" s="471"/>
      <c r="V129" s="1034"/>
      <c r="W129" s="1034"/>
      <c r="X129" s="1034"/>
      <c r="Y129" s="1034"/>
      <c r="Z129" s="1034"/>
      <c r="AA129" s="1491"/>
      <c r="AB129" s="493"/>
      <c r="AC129" s="493"/>
      <c r="AD129" s="493"/>
      <c r="AE129" s="493"/>
    </row>
    <row r="130" spans="1:31" s="1708" customFormat="1" ht="11.25" customHeight="1">
      <c r="A130" s="880"/>
      <c r="B130" s="1495"/>
      <c r="C130" s="1495"/>
      <c r="D130" s="275"/>
      <c r="K130" s="1034"/>
      <c r="L130" s="1495"/>
      <c r="M130" s="1495"/>
      <c r="N130" s="1034"/>
      <c r="O130" s="1034"/>
      <c r="P130" s="1034"/>
      <c r="Q130" s="1034"/>
      <c r="R130" s="1495"/>
      <c r="S130" s="1034"/>
      <c r="T130" s="1034"/>
      <c r="U130" s="471"/>
      <c r="V130" s="1034"/>
      <c r="W130" s="1034"/>
      <c r="X130" s="1034"/>
      <c r="Y130" s="1034"/>
      <c r="Z130" s="1034"/>
      <c r="AA130" s="1491"/>
      <c r="AB130" s="493"/>
      <c r="AC130" s="493"/>
      <c r="AD130" s="493"/>
      <c r="AE130" s="493"/>
    </row>
    <row r="131" spans="1:31" s="1708" customFormat="1" ht="11.25" customHeight="1">
      <c r="A131" s="880"/>
      <c r="B131" s="1495"/>
      <c r="C131" s="1495"/>
      <c r="D131" s="275"/>
      <c r="K131" s="1034"/>
      <c r="L131" s="1495"/>
      <c r="M131" s="1495"/>
      <c r="N131" s="1034"/>
      <c r="O131" s="1034"/>
      <c r="P131" s="1034"/>
      <c r="Q131" s="1034"/>
      <c r="R131" s="1495"/>
      <c r="S131" s="1034"/>
      <c r="T131" s="1034"/>
      <c r="U131" s="471"/>
      <c r="V131" s="1034"/>
      <c r="W131" s="1034"/>
      <c r="X131" s="1034"/>
      <c r="Y131" s="1034"/>
      <c r="Z131" s="1034"/>
      <c r="AA131" s="1491"/>
      <c r="AB131" s="493"/>
      <c r="AC131" s="493"/>
      <c r="AD131" s="493"/>
      <c r="AE131" s="493"/>
    </row>
    <row r="132" spans="1:31" s="1708" customFormat="1" ht="11.25" customHeight="1">
      <c r="A132" s="880"/>
      <c r="B132" s="1495"/>
      <c r="C132" s="1495"/>
      <c r="D132" s="275"/>
      <c r="K132" s="1034"/>
      <c r="L132" s="1495"/>
      <c r="M132" s="1495"/>
      <c r="N132" s="1034"/>
      <c r="O132" s="1034"/>
      <c r="P132" s="1034"/>
      <c r="Q132" s="1034"/>
      <c r="R132" s="1495"/>
      <c r="S132" s="1034"/>
      <c r="T132" s="1034"/>
      <c r="U132" s="471"/>
      <c r="V132" s="1034"/>
      <c r="W132" s="1034"/>
      <c r="X132" s="1034"/>
      <c r="Y132" s="1034"/>
      <c r="Z132" s="1034"/>
      <c r="AA132" s="1491"/>
      <c r="AB132" s="493"/>
      <c r="AC132" s="493"/>
      <c r="AD132" s="493"/>
      <c r="AE132" s="493"/>
    </row>
    <row r="133" spans="1:31" s="1708" customFormat="1" ht="11.25" customHeight="1">
      <c r="A133" s="880"/>
      <c r="B133" s="1495"/>
      <c r="C133" s="1495"/>
      <c r="D133" s="275"/>
      <c r="K133" s="1034"/>
      <c r="L133" s="1495"/>
      <c r="M133" s="1495"/>
      <c r="N133" s="1034"/>
      <c r="O133" s="1034"/>
      <c r="P133" s="1034"/>
      <c r="Q133" s="1034"/>
      <c r="R133" s="1495"/>
      <c r="S133" s="1034"/>
      <c r="T133" s="1034"/>
      <c r="U133" s="471"/>
      <c r="V133" s="1034"/>
      <c r="W133" s="1034"/>
      <c r="X133" s="1034"/>
      <c r="Y133" s="1034"/>
      <c r="Z133" s="1034"/>
      <c r="AA133" s="1491"/>
      <c r="AB133" s="493"/>
      <c r="AC133" s="493"/>
      <c r="AD133" s="493"/>
      <c r="AE133" s="493"/>
    </row>
    <row r="134" spans="1:31" s="1708" customFormat="1" ht="11.25" customHeight="1">
      <c r="A134" s="880"/>
      <c r="B134" s="1495"/>
      <c r="C134" s="1495"/>
      <c r="D134" s="275"/>
      <c r="K134" s="1034"/>
      <c r="L134" s="1495"/>
      <c r="M134" s="1495"/>
      <c r="N134" s="1034"/>
      <c r="O134" s="1034"/>
      <c r="P134" s="1034"/>
      <c r="Q134" s="1034"/>
      <c r="R134" s="1495"/>
      <c r="S134" s="1034"/>
      <c r="T134" s="1034"/>
      <c r="U134" s="471"/>
      <c r="V134" s="1034"/>
      <c r="W134" s="1034"/>
      <c r="X134" s="1034"/>
      <c r="Y134" s="1034"/>
      <c r="Z134" s="1034"/>
      <c r="AA134" s="1491"/>
      <c r="AB134" s="493"/>
      <c r="AC134" s="493"/>
      <c r="AD134" s="493"/>
      <c r="AE134" s="493"/>
    </row>
    <row r="135" spans="1:31" s="1708" customFormat="1" ht="11.25" customHeight="1">
      <c r="A135" s="880"/>
      <c r="B135" s="1495"/>
      <c r="C135" s="1495"/>
      <c r="D135" s="275"/>
      <c r="K135" s="1034"/>
      <c r="L135" s="1495"/>
      <c r="M135" s="1495"/>
      <c r="N135" s="1034"/>
      <c r="O135" s="1034"/>
      <c r="P135" s="1034"/>
      <c r="Q135" s="1034"/>
      <c r="R135" s="1495"/>
      <c r="S135" s="1034"/>
      <c r="T135" s="1034"/>
      <c r="U135" s="471"/>
      <c r="V135" s="1034"/>
      <c r="W135" s="1034"/>
      <c r="X135" s="1034"/>
      <c r="Y135" s="1034"/>
      <c r="Z135" s="1034"/>
      <c r="AA135" s="1491"/>
      <c r="AB135" s="493"/>
      <c r="AC135" s="493"/>
      <c r="AD135" s="493"/>
      <c r="AE135" s="493"/>
    </row>
    <row r="136" spans="1:31" s="1708" customFormat="1" ht="11.25" customHeight="1">
      <c r="A136" s="880"/>
      <c r="B136" s="1495"/>
      <c r="C136" s="1495"/>
      <c r="D136" s="275"/>
      <c r="K136" s="1034"/>
      <c r="L136" s="1495"/>
      <c r="M136" s="1495"/>
      <c r="N136" s="1034"/>
      <c r="O136" s="1034"/>
      <c r="P136" s="1034"/>
      <c r="Q136" s="1034"/>
      <c r="R136" s="1495"/>
      <c r="S136" s="1034"/>
      <c r="T136" s="1034"/>
      <c r="U136" s="471"/>
      <c r="V136" s="1034"/>
      <c r="W136" s="1034"/>
      <c r="X136" s="1034"/>
      <c r="Y136" s="1034"/>
      <c r="Z136" s="1034"/>
      <c r="AA136" s="1491"/>
      <c r="AB136" s="493"/>
      <c r="AC136" s="493"/>
      <c r="AD136" s="493"/>
      <c r="AE136" s="493"/>
    </row>
    <row r="137" spans="1:31" s="1708" customFormat="1" ht="11.25" customHeight="1">
      <c r="A137" s="880"/>
      <c r="B137" s="1495"/>
      <c r="C137" s="1495"/>
      <c r="D137" s="275"/>
      <c r="K137" s="1034"/>
      <c r="L137" s="1495"/>
      <c r="M137" s="1495"/>
      <c r="N137" s="1034"/>
      <c r="O137" s="1034"/>
      <c r="P137" s="1034"/>
      <c r="Q137" s="1034"/>
      <c r="R137" s="1495"/>
      <c r="S137" s="1034"/>
      <c r="T137" s="1034"/>
      <c r="U137" s="471"/>
      <c r="V137" s="1034"/>
      <c r="W137" s="1034"/>
      <c r="X137" s="1034"/>
      <c r="Y137" s="1034"/>
      <c r="Z137" s="1034"/>
      <c r="AA137" s="1491"/>
      <c r="AB137" s="493"/>
      <c r="AC137" s="493"/>
      <c r="AD137" s="493"/>
      <c r="AE137" s="493"/>
    </row>
    <row r="138" spans="1:31" s="1708" customFormat="1" ht="11.25" customHeight="1">
      <c r="A138" s="880"/>
      <c r="B138" s="1495"/>
      <c r="C138" s="1495"/>
      <c r="D138" s="275"/>
      <c r="K138" s="1034"/>
      <c r="L138" s="1495"/>
      <c r="M138" s="1495"/>
      <c r="N138" s="1034"/>
      <c r="O138" s="1034"/>
      <c r="P138" s="1034"/>
      <c r="Q138" s="1034"/>
      <c r="R138" s="1495"/>
      <c r="S138" s="1034"/>
      <c r="T138" s="1034"/>
      <c r="U138" s="471"/>
      <c r="V138" s="1034"/>
      <c r="W138" s="1034"/>
      <c r="X138" s="1034"/>
      <c r="Y138" s="1034"/>
      <c r="Z138" s="1034"/>
      <c r="AA138" s="1491"/>
      <c r="AB138" s="493"/>
      <c r="AC138" s="493"/>
      <c r="AD138" s="493"/>
      <c r="AE138" s="493"/>
    </row>
    <row r="139" spans="1:31" s="1708" customFormat="1" ht="11.25" customHeight="1">
      <c r="A139" s="880"/>
      <c r="B139" s="1495"/>
      <c r="C139" s="1495"/>
      <c r="D139" s="275"/>
      <c r="K139" s="1034"/>
      <c r="L139" s="1495"/>
      <c r="M139" s="1495"/>
      <c r="N139" s="1034"/>
      <c r="O139" s="1034"/>
      <c r="P139" s="1034"/>
      <c r="Q139" s="1034"/>
      <c r="R139" s="1495"/>
      <c r="S139" s="1034"/>
      <c r="T139" s="1034"/>
      <c r="U139" s="471"/>
      <c r="V139" s="1034"/>
      <c r="W139" s="1034"/>
      <c r="X139" s="1034"/>
      <c r="Y139" s="1034"/>
      <c r="Z139" s="1034"/>
      <c r="AA139" s="1491"/>
      <c r="AB139" s="493"/>
      <c r="AC139" s="493"/>
      <c r="AD139" s="493"/>
      <c r="AE139" s="493"/>
    </row>
    <row r="140" spans="1:31" s="1708" customFormat="1" ht="11.25" customHeight="1">
      <c r="A140" s="880"/>
      <c r="B140" s="1495"/>
      <c r="C140" s="1495"/>
      <c r="D140" s="275"/>
      <c r="K140" s="1034"/>
      <c r="L140" s="1495"/>
      <c r="M140" s="1495"/>
      <c r="N140" s="1034"/>
      <c r="O140" s="1034"/>
      <c r="P140" s="1034"/>
      <c r="Q140" s="1034"/>
      <c r="R140" s="1495"/>
      <c r="S140" s="1034"/>
      <c r="T140" s="1034"/>
      <c r="U140" s="471"/>
      <c r="V140" s="1034"/>
      <c r="W140" s="1034"/>
      <c r="X140" s="1034"/>
      <c r="Y140" s="1034"/>
      <c r="Z140" s="1034"/>
      <c r="AA140" s="1491"/>
      <c r="AB140" s="493"/>
      <c r="AC140" s="493"/>
      <c r="AD140" s="493"/>
      <c r="AE140" s="493"/>
    </row>
    <row r="141" spans="1:31" s="1708" customFormat="1" ht="11.25" customHeight="1">
      <c r="A141" s="880"/>
      <c r="B141" s="1495"/>
      <c r="C141" s="1495"/>
      <c r="D141" s="275"/>
      <c r="K141" s="1034"/>
      <c r="L141" s="1495"/>
      <c r="M141" s="1495"/>
      <c r="N141" s="1034"/>
      <c r="O141" s="1034"/>
      <c r="P141" s="1034"/>
      <c r="Q141" s="1034"/>
      <c r="R141" s="1495"/>
      <c r="S141" s="1034"/>
      <c r="T141" s="1034"/>
      <c r="U141" s="471"/>
      <c r="V141" s="1034"/>
      <c r="W141" s="1034"/>
      <c r="X141" s="1034"/>
      <c r="Y141" s="1034"/>
      <c r="Z141" s="1034"/>
      <c r="AA141" s="1491"/>
      <c r="AB141" s="493"/>
      <c r="AC141" s="493"/>
      <c r="AD141" s="493"/>
      <c r="AE141" s="493"/>
    </row>
    <row r="142" spans="1:31" s="1708" customFormat="1" ht="11.25" customHeight="1">
      <c r="A142" s="880"/>
      <c r="B142" s="1495"/>
      <c r="C142" s="1495"/>
      <c r="D142" s="275"/>
      <c r="K142" s="1034"/>
      <c r="L142" s="1495"/>
      <c r="M142" s="1495"/>
      <c r="N142" s="1034"/>
      <c r="O142" s="1034"/>
      <c r="P142" s="1034"/>
      <c r="Q142" s="1034"/>
      <c r="R142" s="1495"/>
      <c r="S142" s="1034"/>
      <c r="T142" s="1034"/>
      <c r="U142" s="471"/>
      <c r="V142" s="1034"/>
      <c r="W142" s="1034"/>
      <c r="X142" s="1034"/>
      <c r="Y142" s="1034"/>
      <c r="Z142" s="1034"/>
      <c r="AA142" s="1491"/>
      <c r="AB142" s="493"/>
      <c r="AC142" s="493"/>
      <c r="AD142" s="493"/>
      <c r="AE142" s="493"/>
    </row>
    <row r="143" spans="1:31" s="1708" customFormat="1" ht="11.25" customHeight="1">
      <c r="A143" s="880"/>
      <c r="B143" s="1495"/>
      <c r="C143" s="1495"/>
      <c r="D143" s="275"/>
      <c r="K143" s="1034"/>
      <c r="L143" s="1495"/>
      <c r="M143" s="1495"/>
      <c r="N143" s="1034"/>
      <c r="O143" s="1034"/>
      <c r="P143" s="1034"/>
      <c r="Q143" s="1034"/>
      <c r="R143" s="1495"/>
      <c r="S143" s="1034"/>
      <c r="T143" s="1034"/>
      <c r="U143" s="471"/>
      <c r="V143" s="1034"/>
      <c r="W143" s="1034"/>
      <c r="X143" s="1034"/>
      <c r="Y143" s="1034"/>
      <c r="Z143" s="1034"/>
      <c r="AA143" s="1491"/>
      <c r="AB143" s="493"/>
      <c r="AC143" s="493"/>
      <c r="AD143" s="493"/>
      <c r="AE143" s="493"/>
    </row>
    <row r="144" spans="1:31" s="1708" customFormat="1" ht="11.25" customHeight="1">
      <c r="A144" s="880"/>
      <c r="B144" s="1495"/>
      <c r="C144" s="1495"/>
      <c r="D144" s="275"/>
      <c r="K144" s="1034"/>
      <c r="L144" s="1495"/>
      <c r="M144" s="1495"/>
      <c r="N144" s="1034"/>
      <c r="O144" s="1034"/>
      <c r="P144" s="1034"/>
      <c r="Q144" s="1034"/>
      <c r="R144" s="1495"/>
      <c r="S144" s="1034"/>
      <c r="T144" s="1034"/>
      <c r="U144" s="471"/>
      <c r="V144" s="1034"/>
      <c r="W144" s="1034"/>
      <c r="X144" s="1034"/>
      <c r="Y144" s="1034"/>
      <c r="Z144" s="1034"/>
      <c r="AA144" s="1491"/>
      <c r="AB144" s="493"/>
      <c r="AC144" s="493"/>
      <c r="AD144" s="493"/>
      <c r="AE144" s="493"/>
    </row>
    <row r="145" spans="1:31" s="1708" customFormat="1" ht="11.25" customHeight="1">
      <c r="A145" s="880"/>
      <c r="B145" s="1495"/>
      <c r="C145" s="1495"/>
      <c r="D145" s="275"/>
      <c r="K145" s="1034"/>
      <c r="L145" s="1495"/>
      <c r="M145" s="1495"/>
      <c r="N145" s="1034"/>
      <c r="O145" s="1034"/>
      <c r="P145" s="1034"/>
      <c r="Q145" s="1034"/>
      <c r="R145" s="1495"/>
      <c r="S145" s="1034"/>
      <c r="T145" s="1034"/>
      <c r="U145" s="471"/>
      <c r="V145" s="1034"/>
      <c r="W145" s="1034"/>
      <c r="X145" s="1034"/>
      <c r="Y145" s="1034"/>
      <c r="Z145" s="1034"/>
      <c r="AA145" s="1491"/>
      <c r="AB145" s="493"/>
      <c r="AC145" s="493"/>
      <c r="AD145" s="493"/>
      <c r="AE145" s="493"/>
    </row>
    <row r="146" spans="1:31" s="1708" customFormat="1" ht="11.25" customHeight="1">
      <c r="A146" s="880"/>
      <c r="B146" s="1495"/>
      <c r="C146" s="1495"/>
      <c r="D146" s="275"/>
      <c r="K146" s="1034"/>
      <c r="L146" s="1495"/>
      <c r="M146" s="1495"/>
      <c r="N146" s="1034"/>
      <c r="O146" s="1034"/>
      <c r="P146" s="1034"/>
      <c r="Q146" s="1034"/>
      <c r="R146" s="1495"/>
      <c r="S146" s="1034"/>
      <c r="T146" s="1034"/>
      <c r="U146" s="471"/>
      <c r="V146" s="1034"/>
      <c r="W146" s="1034"/>
      <c r="X146" s="1034"/>
      <c r="Y146" s="1034"/>
      <c r="Z146" s="1034"/>
      <c r="AA146" s="1491"/>
      <c r="AB146" s="493"/>
      <c r="AC146" s="493"/>
      <c r="AD146" s="493"/>
      <c r="AE146" s="493"/>
    </row>
    <row r="147" spans="1:31" s="1708" customFormat="1" ht="11.25" customHeight="1">
      <c r="A147" s="880"/>
      <c r="B147" s="1495"/>
      <c r="C147" s="1495"/>
      <c r="D147" s="275"/>
      <c r="K147" s="1034"/>
      <c r="L147" s="1495"/>
      <c r="M147" s="1495"/>
      <c r="N147" s="1034"/>
      <c r="O147" s="1034"/>
      <c r="P147" s="1034"/>
      <c r="Q147" s="1034"/>
      <c r="R147" s="1495"/>
      <c r="S147" s="1034"/>
      <c r="T147" s="1034"/>
      <c r="U147" s="471"/>
      <c r="V147" s="1034"/>
      <c r="W147" s="1034"/>
      <c r="X147" s="1034"/>
      <c r="Y147" s="1034"/>
      <c r="Z147" s="1034"/>
      <c r="AA147" s="1491"/>
      <c r="AB147" s="493"/>
      <c r="AC147" s="493"/>
      <c r="AD147" s="493"/>
      <c r="AE147" s="493"/>
    </row>
    <row r="148" spans="1:31" s="1708" customFormat="1" ht="11.25" customHeight="1">
      <c r="A148" s="880"/>
      <c r="B148" s="1495"/>
      <c r="C148" s="1495"/>
      <c r="D148" s="275"/>
      <c r="K148" s="1034"/>
      <c r="L148" s="1495"/>
      <c r="M148" s="1495"/>
      <c r="N148" s="1034"/>
      <c r="O148" s="1034"/>
      <c r="P148" s="1034"/>
      <c r="Q148" s="1034"/>
      <c r="R148" s="1495"/>
      <c r="S148" s="1034"/>
      <c r="T148" s="1034"/>
      <c r="U148" s="471"/>
      <c r="V148" s="1034"/>
      <c r="W148" s="1034"/>
      <c r="X148" s="1034"/>
      <c r="Y148" s="1034"/>
      <c r="Z148" s="1034"/>
      <c r="AA148" s="1491"/>
      <c r="AB148" s="493"/>
      <c r="AC148" s="493"/>
      <c r="AD148" s="493"/>
      <c r="AE148" s="493"/>
    </row>
    <row r="149" spans="1:31" s="1708" customFormat="1" ht="11.25" customHeight="1">
      <c r="A149" s="880"/>
      <c r="B149" s="1495"/>
      <c r="C149" s="1495"/>
      <c r="D149" s="275"/>
      <c r="K149" s="1034"/>
      <c r="L149" s="1495"/>
      <c r="M149" s="1495"/>
      <c r="N149" s="1034"/>
      <c r="O149" s="1034"/>
      <c r="P149" s="1034"/>
      <c r="Q149" s="1034"/>
      <c r="R149" s="1495"/>
      <c r="S149" s="1034"/>
      <c r="T149" s="1034"/>
      <c r="U149" s="471"/>
      <c r="V149" s="1034"/>
      <c r="W149" s="1034"/>
      <c r="X149" s="1034"/>
      <c r="Y149" s="1034"/>
      <c r="Z149" s="1034"/>
      <c r="AA149" s="1491"/>
      <c r="AB149" s="493"/>
      <c r="AC149" s="493"/>
      <c r="AD149" s="493"/>
      <c r="AE149" s="493"/>
    </row>
    <row r="150" spans="1:31" s="1708" customFormat="1" ht="11.25" customHeight="1">
      <c r="A150" s="880"/>
      <c r="B150" s="1495"/>
      <c r="C150" s="1495"/>
      <c r="D150" s="275"/>
      <c r="K150" s="1034"/>
      <c r="L150" s="1495"/>
      <c r="M150" s="1495"/>
      <c r="N150" s="1034"/>
      <c r="O150" s="1034"/>
      <c r="P150" s="1034"/>
      <c r="Q150" s="1034"/>
      <c r="R150" s="1495"/>
      <c r="S150" s="1034"/>
      <c r="T150" s="1034"/>
      <c r="U150" s="471"/>
      <c r="V150" s="1034"/>
      <c r="W150" s="1034"/>
      <c r="X150" s="1034"/>
      <c r="Y150" s="1034"/>
      <c r="Z150" s="1034"/>
      <c r="AA150" s="1491"/>
      <c r="AB150" s="493"/>
      <c r="AC150" s="493"/>
      <c r="AD150" s="493"/>
      <c r="AE150" s="493"/>
    </row>
    <row r="151" spans="1:31" s="1708" customFormat="1" ht="11.25" customHeight="1">
      <c r="A151" s="880"/>
      <c r="B151" s="1495"/>
      <c r="C151" s="1495"/>
      <c r="D151" s="275"/>
      <c r="K151" s="1034"/>
      <c r="L151" s="1495"/>
      <c r="M151" s="1495"/>
      <c r="N151" s="1034"/>
      <c r="O151" s="1034"/>
      <c r="P151" s="1034"/>
      <c r="Q151" s="1034"/>
      <c r="R151" s="1495"/>
      <c r="S151" s="1034"/>
      <c r="T151" s="1034"/>
      <c r="U151" s="471"/>
      <c r="V151" s="1034"/>
      <c r="W151" s="1034"/>
      <c r="X151" s="1034"/>
      <c r="Y151" s="1034"/>
      <c r="Z151" s="1034"/>
      <c r="AA151" s="1491"/>
      <c r="AB151" s="493"/>
      <c r="AC151" s="493"/>
      <c r="AD151" s="493"/>
      <c r="AE151" s="493"/>
    </row>
    <row r="152" spans="1:31" s="1708" customFormat="1" ht="11.25" customHeight="1">
      <c r="A152" s="880"/>
      <c r="B152" s="1495"/>
      <c r="C152" s="1495"/>
      <c r="D152" s="275"/>
      <c r="K152" s="1034"/>
      <c r="L152" s="1495"/>
      <c r="M152" s="1495"/>
      <c r="N152" s="1034"/>
      <c r="O152" s="1034"/>
      <c r="P152" s="1034"/>
      <c r="Q152" s="1034"/>
      <c r="R152" s="1495"/>
      <c r="S152" s="1034"/>
      <c r="T152" s="1034"/>
      <c r="U152" s="471"/>
      <c r="V152" s="1034"/>
      <c r="W152" s="1034"/>
      <c r="X152" s="1034"/>
      <c r="Y152" s="1034"/>
      <c r="Z152" s="1034"/>
      <c r="AA152" s="1491"/>
      <c r="AB152" s="493"/>
      <c r="AC152" s="493"/>
      <c r="AD152" s="493"/>
      <c r="AE152" s="493"/>
    </row>
    <row r="153" spans="1:31" s="1708" customFormat="1" ht="11.25" customHeight="1">
      <c r="A153" s="880"/>
      <c r="B153" s="1495"/>
      <c r="C153" s="1495"/>
      <c r="D153" s="275"/>
      <c r="K153" s="1034"/>
      <c r="L153" s="1495"/>
      <c r="M153" s="1495"/>
      <c r="N153" s="1034"/>
      <c r="O153" s="1034"/>
      <c r="P153" s="1034"/>
      <c r="Q153" s="1034"/>
      <c r="R153" s="1495"/>
      <c r="S153" s="1034"/>
      <c r="T153" s="1034"/>
      <c r="U153" s="471"/>
      <c r="V153" s="1034"/>
      <c r="W153" s="1034"/>
      <c r="X153" s="1034"/>
      <c r="Y153" s="1034"/>
      <c r="Z153" s="1034"/>
      <c r="AA153" s="1491"/>
      <c r="AB153" s="493"/>
      <c r="AC153" s="493"/>
      <c r="AD153" s="493"/>
      <c r="AE153" s="493"/>
    </row>
    <row r="154" spans="1:31" s="1708" customFormat="1" ht="11.25" customHeight="1">
      <c r="A154" s="880"/>
      <c r="B154" s="1495"/>
      <c r="C154" s="1495"/>
      <c r="D154" s="275"/>
      <c r="K154" s="1034"/>
      <c r="L154" s="1495"/>
      <c r="M154" s="1495"/>
      <c r="N154" s="1034"/>
      <c r="O154" s="1034"/>
      <c r="P154" s="1034"/>
      <c r="Q154" s="1034"/>
      <c r="R154" s="1495"/>
      <c r="S154" s="1034"/>
      <c r="T154" s="1034"/>
      <c r="U154" s="471"/>
      <c r="V154" s="1034"/>
      <c r="W154" s="1034"/>
      <c r="X154" s="1034"/>
      <c r="Y154" s="1034"/>
      <c r="Z154" s="1034"/>
      <c r="AA154" s="1491"/>
      <c r="AB154" s="493"/>
      <c r="AC154" s="493"/>
      <c r="AD154" s="493"/>
      <c r="AE154" s="493"/>
    </row>
    <row r="155" spans="1:31" s="1708" customFormat="1" ht="11.25" customHeight="1">
      <c r="A155" s="880"/>
      <c r="B155" s="1495"/>
      <c r="C155" s="1495"/>
      <c r="D155" s="275"/>
      <c r="K155" s="1034"/>
      <c r="L155" s="1495"/>
      <c r="M155" s="1495"/>
      <c r="N155" s="1034"/>
      <c r="O155" s="1034"/>
      <c r="P155" s="1034"/>
      <c r="Q155" s="1034"/>
      <c r="R155" s="1495"/>
      <c r="S155" s="1034"/>
      <c r="T155" s="1034"/>
      <c r="U155" s="471"/>
      <c r="V155" s="1034"/>
      <c r="W155" s="1034"/>
      <c r="X155" s="1034"/>
      <c r="Y155" s="1034"/>
      <c r="Z155" s="1034"/>
      <c r="AA155" s="1491"/>
      <c r="AB155" s="493"/>
      <c r="AC155" s="493"/>
      <c r="AD155" s="493"/>
      <c r="AE155" s="493"/>
    </row>
    <row r="156" spans="1:31" s="1708" customFormat="1" ht="11.25" customHeight="1">
      <c r="A156" s="880"/>
      <c r="B156" s="1495"/>
      <c r="C156" s="1495"/>
      <c r="D156" s="275"/>
      <c r="K156" s="1034"/>
      <c r="L156" s="1495"/>
      <c r="M156" s="1495"/>
      <c r="N156" s="1034"/>
      <c r="O156" s="1034"/>
      <c r="P156" s="1034"/>
      <c r="Q156" s="1034"/>
      <c r="R156" s="1495"/>
      <c r="S156" s="1034"/>
      <c r="T156" s="1034"/>
      <c r="U156" s="471"/>
      <c r="V156" s="1034"/>
      <c r="W156" s="1034"/>
      <c r="X156" s="1034"/>
      <c r="Y156" s="1034"/>
      <c r="Z156" s="1034"/>
      <c r="AA156" s="1491"/>
      <c r="AB156" s="493"/>
      <c r="AC156" s="493"/>
      <c r="AD156" s="493"/>
      <c r="AE156" s="493"/>
    </row>
    <row r="157" spans="1:31" s="1708" customFormat="1" ht="11.25" customHeight="1">
      <c r="A157" s="880"/>
      <c r="B157" s="1495"/>
      <c r="C157" s="1495"/>
      <c r="D157" s="275"/>
      <c r="K157" s="1034"/>
      <c r="L157" s="1495"/>
      <c r="M157" s="1495"/>
      <c r="N157" s="1034"/>
      <c r="O157" s="1034"/>
      <c r="P157" s="1034"/>
      <c r="Q157" s="1034"/>
      <c r="R157" s="1495"/>
      <c r="S157" s="1034"/>
      <c r="T157" s="1034"/>
      <c r="U157" s="471"/>
      <c r="V157" s="1034"/>
      <c r="W157" s="1034"/>
      <c r="X157" s="1034"/>
      <c r="Y157" s="1034"/>
      <c r="Z157" s="1034"/>
      <c r="AA157" s="1491"/>
      <c r="AB157" s="493"/>
      <c r="AC157" s="493"/>
      <c r="AD157" s="493"/>
      <c r="AE157" s="493"/>
    </row>
    <row r="158" spans="1:31" s="1708" customFormat="1" ht="11.25" customHeight="1">
      <c r="A158" s="880"/>
      <c r="B158" s="1495"/>
      <c r="C158" s="1495"/>
      <c r="D158" s="275"/>
      <c r="K158" s="1034"/>
      <c r="L158" s="1495"/>
      <c r="M158" s="1495"/>
      <c r="N158" s="1034"/>
      <c r="O158" s="1034"/>
      <c r="P158" s="1034"/>
      <c r="Q158" s="1034"/>
      <c r="R158" s="1495"/>
      <c r="S158" s="1034"/>
      <c r="T158" s="1034"/>
      <c r="U158" s="471"/>
      <c r="V158" s="1034"/>
      <c r="W158" s="1034"/>
      <c r="X158" s="1034"/>
      <c r="Y158" s="1034"/>
      <c r="Z158" s="1034"/>
      <c r="AA158" s="1491"/>
      <c r="AB158" s="493"/>
      <c r="AC158" s="493"/>
      <c r="AD158" s="493"/>
      <c r="AE158" s="493"/>
    </row>
    <row r="159" spans="1:31" s="1708" customFormat="1" ht="11.25" customHeight="1">
      <c r="A159" s="880"/>
      <c r="B159" s="1495"/>
      <c r="C159" s="1495"/>
      <c r="D159" s="275"/>
      <c r="K159" s="1034"/>
      <c r="L159" s="1495"/>
      <c r="M159" s="1495"/>
      <c r="N159" s="1034"/>
      <c r="O159" s="1034"/>
      <c r="P159" s="1034"/>
      <c r="Q159" s="1034"/>
      <c r="R159" s="1495"/>
      <c r="S159" s="1034"/>
      <c r="T159" s="1034"/>
      <c r="U159" s="471"/>
      <c r="V159" s="1034"/>
      <c r="W159" s="1034"/>
      <c r="X159" s="1034"/>
      <c r="Y159" s="1034"/>
      <c r="Z159" s="1034"/>
      <c r="AA159" s="1491"/>
      <c r="AB159" s="493"/>
      <c r="AC159" s="493"/>
      <c r="AD159" s="493"/>
      <c r="AE159" s="493"/>
    </row>
    <row r="160" spans="1:31" s="1708" customFormat="1" ht="11.25" customHeight="1">
      <c r="A160" s="880"/>
      <c r="B160" s="1495"/>
      <c r="C160" s="1495"/>
      <c r="D160" s="275"/>
      <c r="K160" s="1034"/>
      <c r="L160" s="1495"/>
      <c r="M160" s="1495"/>
      <c r="N160" s="1034"/>
      <c r="O160" s="1034"/>
      <c r="P160" s="1034"/>
      <c r="Q160" s="1034"/>
      <c r="R160" s="1495"/>
      <c r="S160" s="1034"/>
      <c r="T160" s="1034"/>
      <c r="U160" s="471"/>
      <c r="V160" s="1034"/>
      <c r="W160" s="1034"/>
      <c r="X160" s="1034"/>
      <c r="Y160" s="1034"/>
      <c r="Z160" s="1034"/>
      <c r="AA160" s="1491"/>
      <c r="AB160" s="493"/>
      <c r="AC160" s="493"/>
      <c r="AD160" s="493"/>
      <c r="AE160" s="493"/>
    </row>
    <row r="161" spans="1:31" s="1708" customFormat="1" ht="11.25" customHeight="1">
      <c r="A161" s="880"/>
      <c r="B161" s="1495"/>
      <c r="C161" s="1495"/>
      <c r="D161" s="275"/>
      <c r="K161" s="1034"/>
      <c r="L161" s="1495"/>
      <c r="M161" s="1495"/>
      <c r="N161" s="1034"/>
      <c r="O161" s="1034"/>
      <c r="P161" s="1034"/>
      <c r="Q161" s="1034"/>
      <c r="R161" s="1495"/>
      <c r="S161" s="1034"/>
      <c r="T161" s="1034"/>
      <c r="U161" s="471"/>
      <c r="V161" s="1034"/>
      <c r="W161" s="1034"/>
      <c r="X161" s="1034"/>
      <c r="Y161" s="1034"/>
      <c r="Z161" s="1034"/>
      <c r="AA161" s="1491"/>
      <c r="AB161" s="493"/>
      <c r="AC161" s="493"/>
      <c r="AD161" s="493"/>
      <c r="AE161" s="493"/>
    </row>
    <row r="162" spans="1:31" s="1708" customFormat="1" ht="11.25" customHeight="1">
      <c r="A162" s="880"/>
      <c r="B162" s="1495"/>
      <c r="C162" s="1495"/>
      <c r="D162" s="275"/>
      <c r="K162" s="1034"/>
      <c r="L162" s="1495"/>
      <c r="M162" s="1495"/>
      <c r="N162" s="1034"/>
      <c r="O162" s="1034"/>
      <c r="P162" s="1034"/>
      <c r="Q162" s="1034"/>
      <c r="R162" s="1495"/>
      <c r="S162" s="1034"/>
      <c r="T162" s="1034"/>
      <c r="U162" s="471"/>
      <c r="V162" s="1034"/>
      <c r="W162" s="1034"/>
      <c r="X162" s="1034"/>
      <c r="Y162" s="1034"/>
      <c r="Z162" s="1034"/>
      <c r="AA162" s="1491"/>
      <c r="AB162" s="493"/>
      <c r="AC162" s="493"/>
      <c r="AD162" s="493"/>
      <c r="AE162" s="493"/>
    </row>
    <row r="163" spans="1:31" s="1708" customFormat="1" ht="11.25" customHeight="1">
      <c r="A163" s="880"/>
      <c r="B163" s="1495"/>
      <c r="C163" s="1495"/>
      <c r="D163" s="275"/>
      <c r="K163" s="1034"/>
      <c r="L163" s="1495"/>
      <c r="M163" s="1495"/>
      <c r="N163" s="1034"/>
      <c r="O163" s="1034"/>
      <c r="P163" s="1034"/>
      <c r="Q163" s="1034"/>
      <c r="R163" s="1495"/>
      <c r="S163" s="1034"/>
      <c r="T163" s="1034"/>
      <c r="U163" s="471"/>
      <c r="V163" s="1034"/>
      <c r="W163" s="1034"/>
      <c r="X163" s="1034"/>
      <c r="Y163" s="1034"/>
      <c r="Z163" s="1034"/>
      <c r="AA163" s="1491"/>
      <c r="AB163" s="493"/>
      <c r="AC163" s="493"/>
      <c r="AD163" s="493"/>
      <c r="AE163" s="493"/>
    </row>
    <row r="164" spans="1:31" s="1708" customFormat="1" ht="11.25" customHeight="1">
      <c r="A164" s="880"/>
      <c r="B164" s="1495"/>
      <c r="C164" s="1495"/>
      <c r="D164" s="275"/>
      <c r="K164" s="1034"/>
      <c r="L164" s="1495"/>
      <c r="M164" s="1495"/>
      <c r="N164" s="1034"/>
      <c r="O164" s="1034"/>
      <c r="P164" s="1034"/>
      <c r="Q164" s="1034"/>
      <c r="R164" s="1495"/>
      <c r="S164" s="1034"/>
      <c r="T164" s="1034"/>
      <c r="U164" s="471"/>
      <c r="V164" s="1034"/>
      <c r="W164" s="1034"/>
      <c r="X164" s="1034"/>
      <c r="Y164" s="1034"/>
      <c r="Z164" s="1034"/>
      <c r="AA164" s="1491"/>
      <c r="AB164" s="493"/>
      <c r="AC164" s="493"/>
      <c r="AD164" s="493"/>
      <c r="AE164" s="493"/>
    </row>
    <row r="165" spans="1:31" s="1708" customFormat="1" ht="11.25" customHeight="1">
      <c r="A165" s="880"/>
      <c r="B165" s="1495"/>
      <c r="C165" s="1495"/>
      <c r="D165" s="275"/>
      <c r="K165" s="1034"/>
      <c r="L165" s="1495"/>
      <c r="M165" s="1495"/>
      <c r="N165" s="1034"/>
      <c r="O165" s="1034"/>
      <c r="P165" s="1034"/>
      <c r="Q165" s="1034"/>
      <c r="R165" s="1495"/>
      <c r="S165" s="1034"/>
      <c r="T165" s="1034"/>
      <c r="U165" s="471"/>
      <c r="V165" s="1034"/>
      <c r="W165" s="1034"/>
      <c r="X165" s="1034"/>
      <c r="Y165" s="1034"/>
      <c r="Z165" s="1034"/>
      <c r="AA165" s="1491"/>
      <c r="AB165" s="493"/>
      <c r="AC165" s="493"/>
      <c r="AD165" s="493"/>
      <c r="AE165" s="493"/>
    </row>
    <row r="166" spans="1:31" s="1708" customFormat="1" ht="11.25" customHeight="1">
      <c r="A166" s="880"/>
      <c r="B166" s="1495"/>
      <c r="C166" s="1495"/>
      <c r="D166" s="275"/>
      <c r="K166" s="1034"/>
      <c r="L166" s="1495"/>
      <c r="M166" s="1495"/>
      <c r="N166" s="1034"/>
      <c r="O166" s="1034"/>
      <c r="P166" s="1034"/>
      <c r="Q166" s="1034"/>
      <c r="R166" s="1495"/>
      <c r="S166" s="1034"/>
      <c r="T166" s="1034"/>
      <c r="U166" s="471"/>
      <c r="V166" s="1034"/>
      <c r="W166" s="1034"/>
      <c r="X166" s="1034"/>
      <c r="Y166" s="1034"/>
      <c r="Z166" s="1034"/>
      <c r="AA166" s="1491"/>
      <c r="AB166" s="493"/>
      <c r="AC166" s="493"/>
      <c r="AD166" s="493"/>
      <c r="AE166" s="493"/>
    </row>
    <row r="167" spans="1:31" s="1708" customFormat="1" ht="11.25" customHeight="1">
      <c r="A167" s="880"/>
      <c r="B167" s="1495"/>
      <c r="C167" s="1495"/>
      <c r="D167" s="275"/>
      <c r="K167" s="1034"/>
      <c r="L167" s="1495"/>
      <c r="M167" s="1495"/>
      <c r="N167" s="1034"/>
      <c r="O167" s="1034"/>
      <c r="P167" s="1034"/>
      <c r="Q167" s="1034"/>
      <c r="R167" s="1495"/>
      <c r="S167" s="1034"/>
      <c r="T167" s="1034"/>
      <c r="U167" s="471"/>
      <c r="V167" s="1034"/>
      <c r="W167" s="1034"/>
      <c r="X167" s="1034"/>
      <c r="Y167" s="1034"/>
      <c r="Z167" s="1034"/>
      <c r="AA167" s="1491"/>
      <c r="AB167" s="493"/>
      <c r="AC167" s="493"/>
      <c r="AD167" s="493"/>
      <c r="AE167" s="493"/>
    </row>
    <row r="168" spans="1:31" s="1708" customFormat="1" ht="11.25" customHeight="1">
      <c r="A168" s="880"/>
      <c r="B168" s="1495"/>
      <c r="C168" s="1495"/>
      <c r="D168" s="275"/>
      <c r="K168" s="1034"/>
      <c r="L168" s="1495"/>
      <c r="M168" s="1495"/>
      <c r="N168" s="1034"/>
      <c r="O168" s="1034"/>
      <c r="P168" s="1034"/>
      <c r="Q168" s="1034"/>
      <c r="R168" s="1495"/>
      <c r="S168" s="1034"/>
      <c r="T168" s="1034"/>
      <c r="U168" s="471"/>
      <c r="V168" s="1034"/>
      <c r="W168" s="1034"/>
      <c r="X168" s="1034"/>
      <c r="Y168" s="1034"/>
      <c r="Z168" s="1034"/>
      <c r="AA168" s="1491"/>
      <c r="AB168" s="493"/>
      <c r="AC168" s="493"/>
      <c r="AD168" s="493"/>
      <c r="AE168" s="493"/>
    </row>
    <row r="169" spans="1:31" s="1708" customFormat="1" ht="11.25" customHeight="1">
      <c r="A169" s="880"/>
      <c r="B169" s="1495"/>
      <c r="C169" s="1495"/>
      <c r="D169" s="275"/>
      <c r="K169" s="1034"/>
      <c r="L169" s="1495"/>
      <c r="M169" s="1495"/>
      <c r="N169" s="1034"/>
      <c r="O169" s="1034"/>
      <c r="P169" s="1034"/>
      <c r="Q169" s="1034"/>
      <c r="R169" s="1495"/>
      <c r="S169" s="1034"/>
      <c r="T169" s="1034"/>
      <c r="U169" s="471"/>
      <c r="V169" s="1034"/>
      <c r="W169" s="1034"/>
      <c r="X169" s="1034"/>
      <c r="Y169" s="1034"/>
      <c r="Z169" s="1034"/>
      <c r="AA169" s="1491"/>
      <c r="AB169" s="493"/>
      <c r="AC169" s="493"/>
      <c r="AD169" s="493"/>
      <c r="AE169" s="493"/>
    </row>
    <row r="170" spans="1:31" s="1708" customFormat="1" ht="11.25" customHeight="1">
      <c r="A170" s="880"/>
      <c r="B170" s="1495"/>
      <c r="C170" s="1495"/>
      <c r="D170" s="275"/>
      <c r="K170" s="1034"/>
      <c r="L170" s="1495"/>
      <c r="M170" s="1495"/>
      <c r="N170" s="1034"/>
      <c r="O170" s="1034"/>
      <c r="P170" s="1034"/>
      <c r="Q170" s="1034"/>
      <c r="R170" s="1495"/>
      <c r="S170" s="1034"/>
      <c r="T170" s="1034"/>
      <c r="U170" s="471"/>
      <c r="V170" s="1034"/>
      <c r="W170" s="1034"/>
      <c r="X170" s="1034"/>
      <c r="Y170" s="1034"/>
      <c r="Z170" s="1034"/>
      <c r="AA170" s="1491"/>
      <c r="AB170" s="493"/>
      <c r="AC170" s="493"/>
      <c r="AD170" s="493"/>
      <c r="AE170" s="493"/>
    </row>
    <row r="171" spans="1:31" s="1708" customFormat="1" ht="11.25" customHeight="1">
      <c r="A171" s="880"/>
      <c r="B171" s="1495"/>
      <c r="C171" s="1495"/>
      <c r="D171" s="275"/>
      <c r="K171" s="1034"/>
      <c r="L171" s="1495"/>
      <c r="M171" s="1495"/>
      <c r="N171" s="1034"/>
      <c r="O171" s="1034"/>
      <c r="P171" s="1034"/>
      <c r="Q171" s="1034"/>
      <c r="R171" s="1495"/>
      <c r="S171" s="1034"/>
      <c r="T171" s="1034"/>
      <c r="U171" s="471"/>
      <c r="V171" s="1034"/>
      <c r="W171" s="1034"/>
      <c r="X171" s="1034"/>
      <c r="Y171" s="1034"/>
      <c r="Z171" s="1034"/>
      <c r="AA171" s="1491"/>
      <c r="AB171" s="493"/>
      <c r="AC171" s="493"/>
      <c r="AD171" s="493"/>
      <c r="AE171" s="493"/>
    </row>
    <row r="172" spans="1:31" s="1708" customFormat="1" ht="11.25" customHeight="1">
      <c r="A172" s="880"/>
      <c r="B172" s="1495"/>
      <c r="C172" s="1495"/>
      <c r="D172" s="275"/>
      <c r="K172" s="1034"/>
      <c r="L172" s="1495"/>
      <c r="M172" s="1495"/>
      <c r="N172" s="1034"/>
      <c r="O172" s="1034"/>
      <c r="P172" s="1034"/>
      <c r="Q172" s="1034"/>
      <c r="R172" s="1495"/>
      <c r="S172" s="1034"/>
      <c r="T172" s="1034"/>
      <c r="U172" s="471"/>
      <c r="V172" s="1034"/>
      <c r="W172" s="1034"/>
      <c r="X172" s="1034"/>
      <c r="Y172" s="1034"/>
      <c r="Z172" s="1034"/>
      <c r="AA172" s="1491"/>
      <c r="AB172" s="493"/>
      <c r="AC172" s="493"/>
      <c r="AD172" s="493"/>
      <c r="AE172" s="493"/>
    </row>
    <row r="173" spans="1:31" s="1708" customFormat="1" ht="11.25" customHeight="1">
      <c r="A173" s="880"/>
      <c r="B173" s="1495"/>
      <c r="C173" s="1495"/>
      <c r="D173" s="275"/>
      <c r="K173" s="1034"/>
      <c r="L173" s="1495"/>
      <c r="M173" s="1495"/>
      <c r="N173" s="1034"/>
      <c r="O173" s="1034"/>
      <c r="P173" s="1034"/>
      <c r="Q173" s="1034"/>
      <c r="R173" s="1495"/>
      <c r="S173" s="1034"/>
      <c r="T173" s="1034"/>
      <c r="U173" s="471"/>
      <c r="V173" s="1034"/>
      <c r="W173" s="1034"/>
      <c r="X173" s="1034"/>
      <c r="Y173" s="1034"/>
      <c r="Z173" s="1034"/>
      <c r="AA173" s="1491"/>
      <c r="AB173" s="493"/>
      <c r="AC173" s="493"/>
      <c r="AD173" s="493"/>
      <c r="AE173" s="493"/>
    </row>
    <row r="174" spans="1:31" s="1708" customFormat="1" ht="11.25" customHeight="1">
      <c r="A174" s="880"/>
      <c r="B174" s="1495"/>
      <c r="C174" s="1495"/>
      <c r="D174" s="275"/>
      <c r="K174" s="1034"/>
      <c r="L174" s="1495"/>
      <c r="M174" s="1495"/>
      <c r="N174" s="1034"/>
      <c r="O174" s="1034"/>
      <c r="P174" s="1034"/>
      <c r="Q174" s="1034"/>
      <c r="R174" s="1495"/>
      <c r="S174" s="1034"/>
      <c r="T174" s="1034"/>
      <c r="U174" s="471"/>
      <c r="V174" s="1034"/>
      <c r="W174" s="1034"/>
      <c r="X174" s="1034"/>
      <c r="Y174" s="1034"/>
      <c r="Z174" s="1034"/>
      <c r="AA174" s="1491"/>
      <c r="AB174" s="493"/>
      <c r="AC174" s="493"/>
      <c r="AD174" s="493"/>
      <c r="AE174" s="493"/>
    </row>
    <row r="175" spans="1:31" s="1708" customFormat="1" ht="11.25" customHeight="1">
      <c r="A175" s="880"/>
      <c r="B175" s="1495"/>
      <c r="C175" s="1495"/>
      <c r="D175" s="275"/>
      <c r="K175" s="1034"/>
      <c r="L175" s="1495"/>
      <c r="M175" s="1495"/>
      <c r="N175" s="1034"/>
      <c r="O175" s="1034"/>
      <c r="P175" s="1034"/>
      <c r="Q175" s="1034"/>
      <c r="R175" s="1495"/>
      <c r="S175" s="1034"/>
      <c r="T175" s="1034"/>
      <c r="U175" s="471"/>
      <c r="V175" s="1034"/>
      <c r="W175" s="1034"/>
      <c r="X175" s="1034"/>
      <c r="Y175" s="1034"/>
      <c r="Z175" s="1034"/>
      <c r="AA175" s="1491"/>
      <c r="AB175" s="493"/>
      <c r="AC175" s="493"/>
      <c r="AD175" s="493"/>
      <c r="AE175" s="493"/>
    </row>
    <row r="176" spans="1:31" s="1708" customFormat="1" ht="11.25" customHeight="1">
      <c r="A176" s="880"/>
      <c r="B176" s="1495"/>
      <c r="C176" s="1495"/>
      <c r="D176" s="275"/>
      <c r="K176" s="1034"/>
      <c r="L176" s="1495"/>
      <c r="M176" s="1495"/>
      <c r="N176" s="1034"/>
      <c r="O176" s="1034"/>
      <c r="P176" s="1034"/>
      <c r="Q176" s="1034"/>
      <c r="R176" s="1495"/>
      <c r="S176" s="1034"/>
      <c r="T176" s="1034"/>
      <c r="U176" s="471"/>
      <c r="V176" s="1034"/>
      <c r="W176" s="1034"/>
      <c r="X176" s="1034"/>
      <c r="Y176" s="1034"/>
      <c r="Z176" s="1034"/>
      <c r="AA176" s="1491"/>
      <c r="AB176" s="493"/>
      <c r="AC176" s="493"/>
      <c r="AD176" s="493"/>
      <c r="AE176" s="493"/>
    </row>
    <row r="177" spans="1:31" s="1708" customFormat="1" ht="11.25" customHeight="1">
      <c r="A177" s="880"/>
      <c r="B177" s="1495"/>
      <c r="C177" s="1495"/>
      <c r="D177" s="275"/>
      <c r="K177" s="1034"/>
      <c r="L177" s="1495"/>
      <c r="M177" s="1495"/>
      <c r="N177" s="1034"/>
      <c r="O177" s="1034"/>
      <c r="P177" s="1034"/>
      <c r="Q177" s="1034"/>
      <c r="R177" s="1495"/>
      <c r="S177" s="1034"/>
      <c r="T177" s="1034"/>
      <c r="U177" s="471"/>
      <c r="V177" s="1034"/>
      <c r="W177" s="1034"/>
      <c r="X177" s="1034"/>
      <c r="Y177" s="1034"/>
      <c r="Z177" s="1034"/>
      <c r="AA177" s="1491"/>
      <c r="AB177" s="493"/>
      <c r="AC177" s="493"/>
      <c r="AD177" s="493"/>
      <c r="AE177" s="493"/>
    </row>
    <row r="178" spans="1:31" s="1708" customFormat="1" ht="11.25" customHeight="1">
      <c r="A178" s="880"/>
      <c r="B178" s="1495"/>
      <c r="C178" s="1495"/>
      <c r="D178" s="275"/>
      <c r="K178" s="1034"/>
      <c r="L178" s="1495"/>
      <c r="M178" s="1495"/>
      <c r="N178" s="1034"/>
      <c r="O178" s="1034"/>
      <c r="P178" s="1034"/>
      <c r="Q178" s="1034"/>
      <c r="R178" s="1495"/>
      <c r="S178" s="1034"/>
      <c r="T178" s="1034"/>
      <c r="U178" s="471"/>
      <c r="V178" s="1034"/>
      <c r="W178" s="1034"/>
      <c r="X178" s="1034"/>
      <c r="Y178" s="1034"/>
      <c r="Z178" s="1034"/>
      <c r="AA178" s="1491"/>
      <c r="AB178" s="493"/>
      <c r="AC178" s="493"/>
      <c r="AD178" s="493"/>
      <c r="AE178" s="493"/>
    </row>
    <row r="179" spans="1:31" s="1708" customFormat="1" ht="11.25" customHeight="1">
      <c r="A179" s="880"/>
      <c r="B179" s="1495"/>
      <c r="C179" s="1495"/>
      <c r="D179" s="275"/>
      <c r="K179" s="1034"/>
      <c r="L179" s="1495"/>
      <c r="M179" s="1495"/>
      <c r="N179" s="1034"/>
      <c r="O179" s="1034"/>
      <c r="P179" s="1034"/>
      <c r="Q179" s="1034"/>
      <c r="R179" s="1495"/>
      <c r="S179" s="1034"/>
      <c r="T179" s="1034"/>
      <c r="U179" s="471"/>
      <c r="V179" s="1034"/>
      <c r="W179" s="1034"/>
      <c r="X179" s="1034"/>
      <c r="Y179" s="1034"/>
      <c r="Z179" s="1034"/>
      <c r="AA179" s="1491"/>
      <c r="AB179" s="493"/>
      <c r="AC179" s="493"/>
      <c r="AD179" s="493"/>
      <c r="AE179" s="493"/>
    </row>
    <row r="180" spans="1:31" s="1708" customFormat="1" ht="11.25" customHeight="1">
      <c r="A180" s="880"/>
      <c r="B180" s="1495"/>
      <c r="C180" s="1495"/>
      <c r="D180" s="275"/>
      <c r="K180" s="1034"/>
      <c r="L180" s="1495"/>
      <c r="M180" s="1495"/>
      <c r="N180" s="1034"/>
      <c r="O180" s="1034"/>
      <c r="P180" s="1034"/>
      <c r="Q180" s="1034"/>
      <c r="R180" s="1495"/>
      <c r="S180" s="1034"/>
      <c r="T180" s="1034"/>
      <c r="U180" s="471"/>
      <c r="V180" s="1034"/>
      <c r="W180" s="1034"/>
      <c r="X180" s="1034"/>
      <c r="Y180" s="1034"/>
      <c r="Z180" s="1034"/>
      <c r="AA180" s="1491"/>
      <c r="AB180" s="493"/>
      <c r="AC180" s="493"/>
      <c r="AD180" s="493"/>
      <c r="AE180" s="493"/>
    </row>
    <row r="181" spans="1:31" s="1708" customFormat="1" ht="11.25" customHeight="1">
      <c r="A181" s="880"/>
      <c r="B181" s="1495"/>
      <c r="C181" s="1495"/>
      <c r="D181" s="275"/>
      <c r="K181" s="1034"/>
      <c r="L181" s="1495"/>
      <c r="M181" s="1495"/>
      <c r="N181" s="1034"/>
      <c r="O181" s="1034"/>
      <c r="P181" s="1034"/>
      <c r="Q181" s="1034"/>
      <c r="R181" s="1495"/>
      <c r="S181" s="1034"/>
      <c r="T181" s="1034"/>
      <c r="U181" s="471"/>
      <c r="V181" s="1034"/>
      <c r="W181" s="1034"/>
      <c r="X181" s="1034"/>
      <c r="Y181" s="1034"/>
      <c r="Z181" s="1034"/>
      <c r="AA181" s="1491"/>
      <c r="AB181" s="493"/>
      <c r="AC181" s="493"/>
      <c r="AD181" s="493"/>
      <c r="AE181" s="493"/>
    </row>
    <row r="182" spans="1:31" s="1708" customFormat="1" ht="11.25" customHeight="1">
      <c r="A182" s="880"/>
      <c r="B182" s="1495"/>
      <c r="C182" s="1495"/>
      <c r="D182" s="275"/>
      <c r="K182" s="1034"/>
      <c r="L182" s="1495"/>
      <c r="M182" s="1495"/>
      <c r="N182" s="1034"/>
      <c r="O182" s="1034"/>
      <c r="P182" s="1034"/>
      <c r="Q182" s="1034"/>
      <c r="R182" s="1495"/>
      <c r="S182" s="1034"/>
      <c r="T182" s="1034"/>
      <c r="U182" s="471"/>
      <c r="V182" s="1034"/>
      <c r="W182" s="1034"/>
      <c r="X182" s="1034"/>
      <c r="Y182" s="1034"/>
      <c r="Z182" s="1034"/>
      <c r="AA182" s="1491"/>
      <c r="AB182" s="493"/>
      <c r="AC182" s="493"/>
      <c r="AD182" s="493"/>
      <c r="AE182" s="493"/>
    </row>
    <row r="183" spans="1:31" s="1708" customFormat="1" ht="11.25" customHeight="1">
      <c r="A183" s="880"/>
      <c r="B183" s="1495"/>
      <c r="C183" s="1495"/>
      <c r="D183" s="275"/>
      <c r="K183" s="1034"/>
      <c r="L183" s="1495"/>
      <c r="M183" s="1495"/>
      <c r="N183" s="1034"/>
      <c r="O183" s="1034"/>
      <c r="P183" s="1034"/>
      <c r="Q183" s="1034"/>
      <c r="R183" s="1495"/>
      <c r="S183" s="1034"/>
      <c r="T183" s="1034"/>
      <c r="U183" s="471"/>
      <c r="V183" s="1034"/>
      <c r="W183" s="1034"/>
      <c r="X183" s="1034"/>
      <c r="Y183" s="1034"/>
      <c r="Z183" s="1034"/>
      <c r="AA183" s="1491"/>
      <c r="AB183" s="493"/>
      <c r="AC183" s="493"/>
      <c r="AD183" s="493"/>
      <c r="AE183" s="493"/>
    </row>
    <row r="184" spans="1:31" s="1708" customFormat="1" ht="11.25" customHeight="1">
      <c r="A184" s="880"/>
      <c r="B184" s="1495"/>
      <c r="C184" s="1495"/>
      <c r="D184" s="275"/>
      <c r="K184" s="1034"/>
      <c r="L184" s="1495"/>
      <c r="M184" s="1495"/>
      <c r="N184" s="1034"/>
      <c r="O184" s="1034"/>
      <c r="P184" s="1034"/>
      <c r="Q184" s="1034"/>
      <c r="R184" s="1495"/>
      <c r="S184" s="1034"/>
      <c r="T184" s="1034"/>
      <c r="U184" s="471"/>
      <c r="V184" s="1034"/>
      <c r="W184" s="1034"/>
      <c r="X184" s="1034"/>
      <c r="Y184" s="1034"/>
      <c r="Z184" s="1034"/>
      <c r="AA184" s="1491"/>
      <c r="AB184" s="493"/>
      <c r="AC184" s="493"/>
      <c r="AD184" s="493"/>
      <c r="AE184" s="493"/>
    </row>
    <row r="185" spans="1:31" s="1708" customFormat="1" ht="11.25" customHeight="1">
      <c r="A185" s="880"/>
      <c r="B185" s="1495"/>
      <c r="C185" s="1495"/>
      <c r="D185" s="275"/>
      <c r="K185" s="1034"/>
      <c r="L185" s="1495"/>
      <c r="M185" s="1495"/>
      <c r="N185" s="1034"/>
      <c r="O185" s="1034"/>
      <c r="P185" s="1034"/>
      <c r="Q185" s="1034"/>
      <c r="R185" s="1495"/>
      <c r="S185" s="1034"/>
      <c r="T185" s="1034"/>
      <c r="U185" s="471"/>
      <c r="V185" s="1034"/>
      <c r="W185" s="1034"/>
      <c r="X185" s="1034"/>
      <c r="Y185" s="1034"/>
      <c r="Z185" s="1034"/>
      <c r="AA185" s="1491"/>
      <c r="AB185" s="493"/>
      <c r="AC185" s="493"/>
      <c r="AD185" s="493"/>
      <c r="AE185" s="493"/>
    </row>
    <row r="186" spans="1:31" s="1708" customFormat="1" ht="11.25" customHeight="1">
      <c r="A186" s="880"/>
      <c r="B186" s="1495"/>
      <c r="C186" s="1495"/>
      <c r="D186" s="275"/>
      <c r="K186" s="1034"/>
      <c r="L186" s="1495"/>
      <c r="M186" s="1495"/>
      <c r="N186" s="1034"/>
      <c r="O186" s="1034"/>
      <c r="P186" s="1034"/>
      <c r="Q186" s="1034"/>
      <c r="R186" s="1495"/>
      <c r="S186" s="1034"/>
      <c r="T186" s="1034"/>
      <c r="U186" s="471"/>
      <c r="V186" s="1034"/>
      <c r="W186" s="1034"/>
      <c r="X186" s="1034"/>
      <c r="Y186" s="1034"/>
      <c r="Z186" s="1034"/>
      <c r="AA186" s="1491"/>
      <c r="AB186" s="493"/>
      <c r="AC186" s="493"/>
      <c r="AD186" s="493"/>
      <c r="AE186" s="493"/>
    </row>
    <row r="187" spans="1:31" s="1708" customFormat="1" ht="11.25" customHeight="1">
      <c r="A187" s="880"/>
      <c r="B187" s="1495"/>
      <c r="C187" s="1495"/>
      <c r="D187" s="275"/>
      <c r="K187" s="1034"/>
      <c r="L187" s="1495"/>
      <c r="M187" s="1495"/>
      <c r="N187" s="1034"/>
      <c r="O187" s="1034"/>
      <c r="P187" s="1034"/>
      <c r="Q187" s="1034"/>
      <c r="R187" s="1495"/>
      <c r="S187" s="1034"/>
      <c r="T187" s="1034"/>
      <c r="U187" s="471"/>
      <c r="V187" s="1034"/>
      <c r="W187" s="1034"/>
      <c r="X187" s="1034"/>
      <c r="Y187" s="1034"/>
      <c r="Z187" s="1034"/>
      <c r="AA187" s="1491"/>
      <c r="AB187" s="493"/>
      <c r="AC187" s="493"/>
      <c r="AD187" s="493"/>
      <c r="AE187" s="493"/>
    </row>
    <row r="188" spans="1:31" s="1708" customFormat="1" ht="11.25" customHeight="1">
      <c r="A188" s="880"/>
      <c r="B188" s="1495"/>
      <c r="C188" s="1495"/>
      <c r="D188" s="275"/>
      <c r="K188" s="1034"/>
      <c r="L188" s="1495"/>
      <c r="M188" s="1495"/>
      <c r="N188" s="1034"/>
      <c r="O188" s="1034"/>
      <c r="P188" s="1034"/>
      <c r="Q188" s="1034"/>
      <c r="R188" s="1495"/>
      <c r="S188" s="1034"/>
      <c r="T188" s="1034"/>
      <c r="U188" s="471"/>
      <c r="V188" s="1034"/>
      <c r="W188" s="1034"/>
      <c r="X188" s="1034"/>
      <c r="Y188" s="1034"/>
      <c r="Z188" s="1034"/>
      <c r="AA188" s="1491"/>
      <c r="AB188" s="493"/>
      <c r="AC188" s="493"/>
      <c r="AD188" s="493"/>
      <c r="AE188" s="493"/>
    </row>
    <row r="189" spans="1:31" s="1708" customFormat="1" ht="11.25" customHeight="1">
      <c r="A189" s="880"/>
      <c r="B189" s="1495"/>
      <c r="C189" s="1495"/>
      <c r="D189" s="275"/>
      <c r="K189" s="1034"/>
      <c r="L189" s="1495"/>
      <c r="M189" s="1495"/>
      <c r="N189" s="1034"/>
      <c r="O189" s="1034"/>
      <c r="P189" s="1034"/>
      <c r="Q189" s="1034"/>
      <c r="R189" s="1495"/>
      <c r="S189" s="1034"/>
      <c r="T189" s="1034"/>
      <c r="U189" s="471"/>
      <c r="V189" s="1034"/>
      <c r="W189" s="1034"/>
      <c r="X189" s="1034"/>
      <c r="Y189" s="1034"/>
      <c r="Z189" s="1034"/>
      <c r="AA189" s="1491"/>
      <c r="AB189" s="493"/>
      <c r="AC189" s="493"/>
      <c r="AD189" s="493"/>
      <c r="AE189" s="493"/>
    </row>
    <row r="190" spans="1:31" s="1708" customFormat="1" ht="11.25" customHeight="1">
      <c r="A190" s="880"/>
      <c r="B190" s="1495"/>
      <c r="C190" s="1495"/>
      <c r="D190" s="275"/>
      <c r="K190" s="1034"/>
      <c r="L190" s="1495"/>
      <c r="M190" s="1495"/>
      <c r="N190" s="1034"/>
      <c r="O190" s="1034"/>
      <c r="P190" s="1034"/>
      <c r="Q190" s="1034"/>
      <c r="R190" s="1495"/>
      <c r="S190" s="1034"/>
      <c r="T190" s="1034"/>
      <c r="U190" s="471"/>
      <c r="V190" s="1034"/>
      <c r="W190" s="1034"/>
      <c r="X190" s="1034"/>
      <c r="Y190" s="1034"/>
      <c r="Z190" s="1034"/>
      <c r="AA190" s="1491"/>
      <c r="AB190" s="493"/>
      <c r="AC190" s="493"/>
      <c r="AD190" s="493"/>
      <c r="AE190" s="493"/>
    </row>
    <row r="191" spans="1:31" s="1708" customFormat="1" ht="11.25" customHeight="1">
      <c r="A191" s="880"/>
      <c r="B191" s="1495"/>
      <c r="C191" s="1495"/>
      <c r="D191" s="275"/>
      <c r="K191" s="1034"/>
      <c r="L191" s="1495"/>
      <c r="M191" s="1495"/>
      <c r="N191" s="1034"/>
      <c r="O191" s="1034"/>
      <c r="P191" s="1034"/>
      <c r="Q191" s="1034"/>
      <c r="R191" s="1495"/>
      <c r="S191" s="1034"/>
      <c r="T191" s="1034"/>
      <c r="U191" s="471"/>
      <c r="V191" s="1034"/>
      <c r="W191" s="1034"/>
      <c r="X191" s="1034"/>
      <c r="Y191" s="1034"/>
      <c r="Z191" s="1034"/>
      <c r="AA191" s="1491"/>
      <c r="AB191" s="493"/>
      <c r="AC191" s="493"/>
      <c r="AD191" s="493"/>
      <c r="AE191" s="493"/>
    </row>
    <row r="192" spans="1:31" s="1708" customFormat="1" ht="11.25" customHeight="1">
      <c r="A192" s="880"/>
      <c r="B192" s="1495"/>
      <c r="C192" s="1495"/>
      <c r="D192" s="275"/>
      <c r="K192" s="1034"/>
      <c r="L192" s="1495"/>
      <c r="M192" s="1495"/>
      <c r="N192" s="1034"/>
      <c r="O192" s="1034"/>
      <c r="P192" s="1034"/>
      <c r="Q192" s="1034"/>
      <c r="R192" s="1495"/>
      <c r="S192" s="1034"/>
      <c r="T192" s="1034"/>
      <c r="U192" s="471"/>
      <c r="V192" s="1034"/>
      <c r="W192" s="1034"/>
      <c r="X192" s="1034"/>
      <c r="Y192" s="1034"/>
      <c r="Z192" s="1034"/>
      <c r="AA192" s="1491"/>
      <c r="AB192" s="493"/>
      <c r="AC192" s="493"/>
      <c r="AD192" s="493"/>
      <c r="AE192" s="493"/>
    </row>
    <row r="193" spans="1:31" s="1708" customFormat="1" ht="11.25" customHeight="1">
      <c r="A193" s="880"/>
      <c r="B193" s="1495"/>
      <c r="C193" s="1495"/>
      <c r="D193" s="275"/>
      <c r="K193" s="1034"/>
      <c r="L193" s="1495"/>
      <c r="M193" s="1495"/>
      <c r="N193" s="1034"/>
      <c r="O193" s="1034"/>
      <c r="P193" s="1034"/>
      <c r="Q193" s="1034"/>
      <c r="R193" s="1495"/>
      <c r="S193" s="1034"/>
      <c r="T193" s="1034"/>
      <c r="U193" s="471"/>
      <c r="V193" s="1034"/>
      <c r="W193" s="1034"/>
      <c r="X193" s="1034"/>
      <c r="Y193" s="1034"/>
      <c r="Z193" s="1034"/>
      <c r="AA193" s="1491"/>
      <c r="AB193" s="493"/>
      <c r="AC193" s="493"/>
      <c r="AD193" s="493"/>
      <c r="AE193" s="493"/>
    </row>
    <row r="194" spans="1:31" s="1708" customFormat="1" ht="11.25" customHeight="1">
      <c r="A194" s="880"/>
      <c r="B194" s="1495"/>
      <c r="C194" s="1495"/>
      <c r="D194" s="275"/>
      <c r="K194" s="1034"/>
      <c r="L194" s="1495"/>
      <c r="M194" s="1495"/>
      <c r="N194" s="1034"/>
      <c r="O194" s="1034"/>
      <c r="P194" s="1034"/>
      <c r="Q194" s="1034"/>
      <c r="R194" s="1495"/>
      <c r="S194" s="1034"/>
      <c r="T194" s="1034"/>
      <c r="U194" s="471"/>
      <c r="V194" s="1034"/>
      <c r="W194" s="1034"/>
      <c r="X194" s="1034"/>
      <c r="Y194" s="1034"/>
      <c r="Z194" s="1034"/>
      <c r="AA194" s="1491"/>
      <c r="AB194" s="493"/>
      <c r="AC194" s="493"/>
      <c r="AD194" s="493"/>
      <c r="AE194" s="493"/>
    </row>
    <row r="195" spans="1:31" s="1708" customFormat="1" ht="11.25" customHeight="1">
      <c r="A195" s="880"/>
      <c r="B195" s="1495"/>
      <c r="C195" s="1495"/>
      <c r="D195" s="275"/>
      <c r="K195" s="1034"/>
      <c r="L195" s="1495"/>
      <c r="M195" s="1495"/>
      <c r="N195" s="1034"/>
      <c r="O195" s="1034"/>
      <c r="P195" s="1034"/>
      <c r="Q195" s="1034"/>
      <c r="R195" s="1495"/>
      <c r="S195" s="1034"/>
      <c r="T195" s="1034"/>
      <c r="U195" s="471"/>
      <c r="V195" s="1034"/>
      <c r="W195" s="1034"/>
      <c r="X195" s="1034"/>
      <c r="Y195" s="1034"/>
      <c r="Z195" s="1034"/>
      <c r="AA195" s="1491"/>
      <c r="AB195" s="493"/>
      <c r="AC195" s="493"/>
      <c r="AD195" s="493"/>
      <c r="AE195" s="493"/>
    </row>
    <row r="196" spans="1:31" s="1708" customFormat="1" ht="11.25" customHeight="1">
      <c r="A196" s="880"/>
      <c r="B196" s="1495"/>
      <c r="C196" s="1495"/>
      <c r="D196" s="275"/>
      <c r="K196" s="1034"/>
      <c r="L196" s="1495"/>
      <c r="M196" s="1495"/>
      <c r="N196" s="1034"/>
      <c r="O196" s="1034"/>
      <c r="P196" s="1034"/>
      <c r="Q196" s="1034"/>
      <c r="R196" s="1495"/>
      <c r="S196" s="1034"/>
      <c r="T196" s="1034"/>
      <c r="U196" s="471"/>
      <c r="V196" s="1034"/>
      <c r="W196" s="1034"/>
      <c r="X196" s="1034"/>
      <c r="Y196" s="1034"/>
      <c r="Z196" s="1034"/>
      <c r="AA196" s="1491"/>
      <c r="AB196" s="493"/>
      <c r="AC196" s="493"/>
      <c r="AD196" s="493"/>
      <c r="AE196" s="493"/>
    </row>
    <row r="197" spans="1:31" s="1708" customFormat="1" ht="11.25" customHeight="1">
      <c r="A197" s="880"/>
      <c r="B197" s="1495"/>
      <c r="C197" s="1495"/>
      <c r="D197" s="275"/>
      <c r="K197" s="1034"/>
      <c r="L197" s="1495"/>
      <c r="M197" s="1495"/>
      <c r="N197" s="1034"/>
      <c r="O197" s="1034"/>
      <c r="P197" s="1034"/>
      <c r="Q197" s="1034"/>
      <c r="R197" s="1495"/>
      <c r="S197" s="1034"/>
      <c r="T197" s="1034"/>
      <c r="U197" s="471"/>
      <c r="V197" s="1034"/>
      <c r="W197" s="1034"/>
      <c r="X197" s="1034"/>
      <c r="Y197" s="1034"/>
      <c r="Z197" s="1034"/>
      <c r="AA197" s="1491"/>
      <c r="AB197" s="493"/>
      <c r="AC197" s="493"/>
      <c r="AD197" s="493"/>
      <c r="AE197" s="493"/>
    </row>
    <row r="198" spans="1:31" s="1708" customFormat="1" ht="11.25" customHeight="1">
      <c r="A198" s="880"/>
      <c r="B198" s="1495"/>
      <c r="C198" s="1495"/>
      <c r="D198" s="275"/>
      <c r="K198" s="1034"/>
      <c r="L198" s="1495"/>
      <c r="M198" s="1495"/>
      <c r="N198" s="1034"/>
      <c r="O198" s="1034"/>
      <c r="P198" s="1034"/>
      <c r="Q198" s="1034"/>
      <c r="R198" s="1495"/>
      <c r="S198" s="1034"/>
      <c r="T198" s="1034"/>
      <c r="U198" s="471"/>
      <c r="V198" s="1034"/>
      <c r="W198" s="1034"/>
      <c r="X198" s="1034"/>
      <c r="Y198" s="1034"/>
      <c r="Z198" s="1034"/>
      <c r="AA198" s="1491"/>
      <c r="AB198" s="493"/>
      <c r="AC198" s="493"/>
      <c r="AD198" s="493"/>
      <c r="AE198" s="493"/>
    </row>
    <row r="199" spans="1:31" s="1708" customFormat="1" ht="11.25" customHeight="1">
      <c r="A199" s="880"/>
      <c r="B199" s="1495"/>
      <c r="C199" s="1495"/>
      <c r="D199" s="275"/>
      <c r="K199" s="1034"/>
      <c r="L199" s="1495"/>
      <c r="M199" s="1495"/>
      <c r="N199" s="1034"/>
      <c r="O199" s="1034"/>
      <c r="P199" s="1034"/>
      <c r="Q199" s="1034"/>
      <c r="R199" s="1495"/>
      <c r="S199" s="1034"/>
      <c r="T199" s="1034"/>
      <c r="U199" s="471"/>
      <c r="V199" s="1034"/>
      <c r="W199" s="1034"/>
      <c r="X199" s="1034"/>
      <c r="Y199" s="1034"/>
      <c r="Z199" s="1034"/>
      <c r="AA199" s="1491"/>
      <c r="AB199" s="493"/>
      <c r="AC199" s="493"/>
      <c r="AD199" s="493"/>
      <c r="AE199" s="493"/>
    </row>
    <row r="200" spans="1:31" s="1708" customFormat="1" ht="11.25" customHeight="1">
      <c r="A200" s="880"/>
      <c r="B200" s="1495"/>
      <c r="C200" s="1495"/>
      <c r="D200" s="275"/>
      <c r="K200" s="1034"/>
      <c r="L200" s="1495"/>
      <c r="M200" s="1495"/>
      <c r="N200" s="1034"/>
      <c r="O200" s="1034"/>
      <c r="P200" s="1034"/>
      <c r="Q200" s="1034"/>
      <c r="R200" s="1495"/>
      <c r="S200" s="1034"/>
      <c r="T200" s="1034"/>
      <c r="U200" s="471"/>
      <c r="V200" s="1034"/>
      <c r="W200" s="1034"/>
      <c r="X200" s="1034"/>
      <c r="Y200" s="1034"/>
      <c r="Z200" s="1034"/>
      <c r="AA200" s="1491"/>
      <c r="AB200" s="493"/>
      <c r="AC200" s="493"/>
      <c r="AD200" s="493"/>
      <c r="AE200" s="493"/>
    </row>
    <row r="201" spans="1:31" s="1708" customFormat="1" ht="11.25" customHeight="1">
      <c r="A201" s="880"/>
      <c r="B201" s="1495"/>
      <c r="C201" s="1495"/>
      <c r="D201" s="275"/>
      <c r="K201" s="1034"/>
      <c r="L201" s="1495"/>
      <c r="M201" s="1495"/>
      <c r="N201" s="1034"/>
      <c r="O201" s="1034"/>
      <c r="P201" s="1034"/>
      <c r="Q201" s="1034"/>
      <c r="R201" s="1495"/>
      <c r="S201" s="1034"/>
      <c r="T201" s="1034"/>
      <c r="U201" s="471"/>
      <c r="V201" s="1034"/>
      <c r="W201" s="1034"/>
      <c r="X201" s="1034"/>
      <c r="Y201" s="1034"/>
      <c r="Z201" s="1034"/>
      <c r="AA201" s="1491"/>
      <c r="AB201" s="493"/>
      <c r="AC201" s="493"/>
      <c r="AD201" s="493"/>
      <c r="AE201" s="493"/>
    </row>
    <row r="202" spans="1:31" s="1708" customFormat="1" ht="11.25" customHeight="1">
      <c r="A202" s="880"/>
      <c r="B202" s="1495"/>
      <c r="C202" s="1495"/>
      <c r="D202" s="275"/>
      <c r="K202" s="1034"/>
      <c r="L202" s="1495"/>
      <c r="M202" s="1495"/>
      <c r="N202" s="1034"/>
      <c r="O202" s="1034"/>
      <c r="P202" s="1034"/>
      <c r="Q202" s="1034"/>
      <c r="R202" s="1495"/>
      <c r="S202" s="1034"/>
      <c r="T202" s="1034"/>
      <c r="U202" s="471"/>
      <c r="V202" s="1034"/>
      <c r="W202" s="1034"/>
      <c r="X202" s="1034"/>
      <c r="Y202" s="1034"/>
      <c r="Z202" s="1034"/>
      <c r="AA202" s="1491"/>
      <c r="AB202" s="493"/>
      <c r="AC202" s="493"/>
      <c r="AD202" s="493"/>
      <c r="AE202" s="493"/>
    </row>
    <row r="203" spans="1:31" s="1708" customFormat="1" ht="11.25" customHeight="1">
      <c r="A203" s="880"/>
      <c r="B203" s="1495"/>
      <c r="C203" s="1495"/>
      <c r="D203" s="275"/>
      <c r="K203" s="1034"/>
      <c r="L203" s="1495"/>
      <c r="M203" s="1495"/>
      <c r="N203" s="1034"/>
      <c r="O203" s="1034"/>
      <c r="P203" s="1034"/>
      <c r="Q203" s="1034"/>
      <c r="R203" s="1495"/>
      <c r="S203" s="1034"/>
      <c r="T203" s="1034"/>
      <c r="U203" s="471"/>
      <c r="V203" s="1034"/>
      <c r="W203" s="1034"/>
      <c r="X203" s="1034"/>
      <c r="Y203" s="1034"/>
      <c r="Z203" s="1034"/>
      <c r="AA203" s="1491"/>
      <c r="AB203" s="493"/>
      <c r="AC203" s="493"/>
      <c r="AD203" s="493"/>
      <c r="AE203" s="493"/>
    </row>
    <row r="204" spans="1:31" s="1708" customFormat="1" ht="11.25" customHeight="1">
      <c r="A204" s="880"/>
      <c r="B204" s="1495"/>
      <c r="C204" s="1495"/>
      <c r="D204" s="275"/>
      <c r="K204" s="1034"/>
      <c r="L204" s="1495"/>
      <c r="M204" s="1495"/>
      <c r="N204" s="1034"/>
      <c r="O204" s="1034"/>
      <c r="P204" s="1034"/>
      <c r="Q204" s="1034"/>
      <c r="R204" s="1495"/>
      <c r="S204" s="1034"/>
      <c r="T204" s="1034"/>
      <c r="U204" s="471"/>
      <c r="V204" s="1034"/>
      <c r="W204" s="1034"/>
      <c r="X204" s="1034"/>
      <c r="Y204" s="1034"/>
      <c r="Z204" s="1034"/>
      <c r="AA204" s="1491"/>
      <c r="AB204" s="493"/>
      <c r="AC204" s="493"/>
      <c r="AD204" s="493"/>
      <c r="AE204" s="493"/>
    </row>
    <row r="208" spans="1:31" ht="11.25" customHeight="1">
      <c r="A208" s="883"/>
      <c r="B208" s="1490"/>
      <c r="D208" s="1490"/>
      <c r="K208" s="1490"/>
      <c r="N208" s="1490"/>
      <c r="O208" s="1490"/>
      <c r="P208" s="1490"/>
      <c r="Q208" s="1490"/>
      <c r="S208" s="1490"/>
      <c r="T208" s="1490"/>
      <c r="U208" s="1490"/>
      <c r="V208" s="1490"/>
      <c r="W208" s="1490"/>
      <c r="X208" s="1490"/>
      <c r="Y208" s="1490"/>
      <c r="Z208" s="1490"/>
      <c r="AA208" s="1490"/>
      <c r="AB208" s="1490"/>
      <c r="AC208" s="1490"/>
      <c r="AD208" s="1490"/>
      <c r="AE208" s="1490"/>
    </row>
    <row r="209" spans="1:31" ht="11.25" customHeight="1">
      <c r="A209" s="883"/>
      <c r="B209" s="1490"/>
      <c r="D209" s="1490"/>
      <c r="K209" s="1490"/>
      <c r="N209" s="1490"/>
      <c r="O209" s="1490"/>
      <c r="P209" s="1490"/>
      <c r="Q209" s="1490"/>
      <c r="S209" s="1490"/>
      <c r="T209" s="1490"/>
      <c r="U209" s="1490"/>
      <c r="V209" s="1490"/>
      <c r="W209" s="1490"/>
      <c r="X209" s="1490"/>
      <c r="Y209" s="1490"/>
      <c r="Z209" s="1490"/>
      <c r="AA209" s="1490"/>
      <c r="AB209" s="1490"/>
      <c r="AC209" s="1490"/>
      <c r="AD209" s="1490"/>
      <c r="AE209" s="1490"/>
    </row>
    <row r="210" spans="1:31" ht="11.25" customHeight="1">
      <c r="A210" s="883"/>
      <c r="B210" s="1490"/>
      <c r="D210" s="1490"/>
      <c r="K210" s="1490"/>
      <c r="N210" s="1490"/>
      <c r="O210" s="1490"/>
      <c r="P210" s="1490"/>
      <c r="Q210" s="1490"/>
      <c r="S210" s="1490"/>
      <c r="T210" s="1490"/>
      <c r="U210" s="1490"/>
      <c r="V210" s="1490"/>
      <c r="W210" s="1490"/>
      <c r="X210" s="1490"/>
      <c r="Y210" s="1490"/>
      <c r="Z210" s="1490"/>
      <c r="AA210" s="1490"/>
      <c r="AB210" s="1490"/>
      <c r="AC210" s="1490"/>
      <c r="AD210" s="1490"/>
      <c r="AE210" s="1490"/>
    </row>
    <row r="211" spans="1:31" ht="11.25" customHeight="1">
      <c r="A211" s="883"/>
      <c r="B211" s="1490"/>
      <c r="D211" s="1490"/>
      <c r="K211" s="1490"/>
      <c r="N211" s="1490"/>
      <c r="O211" s="1490"/>
      <c r="P211" s="1490"/>
      <c r="Q211" s="1490"/>
      <c r="S211" s="1490"/>
      <c r="T211" s="1490"/>
      <c r="U211" s="1490"/>
      <c r="V211" s="1490"/>
      <c r="W211" s="1490"/>
      <c r="X211" s="1490"/>
      <c r="Y211" s="1490"/>
      <c r="Z211" s="1490"/>
      <c r="AA211" s="1490"/>
      <c r="AB211" s="1490"/>
      <c r="AC211" s="1490"/>
      <c r="AD211" s="1490"/>
      <c r="AE211" s="1490"/>
    </row>
    <row r="212" spans="1:31" ht="11.25" customHeight="1">
      <c r="A212" s="883"/>
      <c r="B212" s="1490"/>
      <c r="D212" s="1490"/>
      <c r="K212" s="1490"/>
      <c r="N212" s="1490"/>
      <c r="O212" s="1490"/>
      <c r="P212" s="1490"/>
      <c r="Q212" s="1490"/>
      <c r="S212" s="1490"/>
      <c r="T212" s="1490"/>
      <c r="U212" s="1490"/>
      <c r="V212" s="1490"/>
      <c r="W212" s="1490"/>
      <c r="X212" s="1490"/>
      <c r="Y212" s="1490"/>
      <c r="Z212" s="1490"/>
      <c r="AA212" s="1490"/>
      <c r="AB212" s="1490"/>
      <c r="AC212" s="1490"/>
      <c r="AD212" s="1490"/>
      <c r="AE212" s="1490"/>
    </row>
    <row r="213" spans="1:31" ht="11.25" customHeight="1">
      <c r="A213" s="883"/>
      <c r="B213" s="1490"/>
      <c r="D213" s="1490"/>
      <c r="K213" s="1490"/>
      <c r="N213" s="1490"/>
      <c r="O213" s="1490"/>
      <c r="P213" s="1490"/>
      <c r="Q213" s="1490"/>
      <c r="S213" s="1490"/>
      <c r="T213" s="1490"/>
      <c r="U213" s="1490"/>
      <c r="V213" s="1490"/>
      <c r="W213" s="1490"/>
      <c r="X213" s="1490"/>
      <c r="Y213" s="1490"/>
      <c r="Z213" s="1490"/>
      <c r="AA213" s="1490"/>
      <c r="AB213" s="1490"/>
      <c r="AC213" s="1490"/>
      <c r="AD213" s="1490"/>
      <c r="AE213" s="1490"/>
    </row>
    <row r="214" spans="1:31" ht="11.25" customHeight="1">
      <c r="A214" s="883"/>
      <c r="B214" s="1490"/>
      <c r="D214" s="1490"/>
      <c r="K214" s="1490"/>
      <c r="N214" s="1490"/>
      <c r="O214" s="1490"/>
      <c r="P214" s="1490"/>
      <c r="Q214" s="1490"/>
      <c r="S214" s="1490"/>
      <c r="T214" s="1490"/>
      <c r="U214" s="1490"/>
      <c r="V214" s="1490"/>
      <c r="W214" s="1490"/>
      <c r="X214" s="1490"/>
      <c r="Y214" s="1490"/>
      <c r="Z214" s="1490"/>
      <c r="AA214" s="1490"/>
      <c r="AB214" s="1490"/>
      <c r="AC214" s="1490"/>
      <c r="AD214" s="1490"/>
      <c r="AE214" s="1490"/>
    </row>
    <row r="215" spans="1:31" ht="11.25" customHeight="1">
      <c r="A215" s="883"/>
      <c r="B215" s="1490"/>
      <c r="D215" s="1490"/>
      <c r="K215" s="1490"/>
      <c r="N215" s="1490"/>
      <c r="O215" s="1490"/>
      <c r="P215" s="1490"/>
      <c r="Q215" s="1490"/>
      <c r="S215" s="1490"/>
      <c r="T215" s="1490"/>
      <c r="U215" s="1490"/>
      <c r="V215" s="1490"/>
      <c r="W215" s="1490"/>
      <c r="X215" s="1490"/>
      <c r="Y215" s="1490"/>
      <c r="Z215" s="1490"/>
      <c r="AA215" s="1490"/>
      <c r="AB215" s="1490"/>
      <c r="AC215" s="1490"/>
      <c r="AD215" s="1490"/>
      <c r="AE215" s="1490"/>
    </row>
    <row r="216" spans="1:31" ht="11.25" customHeight="1">
      <c r="A216" s="883"/>
      <c r="B216" s="1490"/>
      <c r="D216" s="1490"/>
      <c r="K216" s="1490"/>
      <c r="N216" s="1490"/>
      <c r="O216" s="1490"/>
      <c r="P216" s="1490"/>
      <c r="Q216" s="1490"/>
      <c r="S216" s="1490"/>
      <c r="T216" s="1490"/>
      <c r="U216" s="1490"/>
      <c r="V216" s="1490"/>
      <c r="W216" s="1490"/>
      <c r="X216" s="1490"/>
      <c r="Y216" s="1490"/>
      <c r="Z216" s="1490"/>
      <c r="AA216" s="1490"/>
      <c r="AB216" s="1490"/>
      <c r="AC216" s="1490"/>
      <c r="AD216" s="1490"/>
      <c r="AE216" s="1490"/>
    </row>
    <row r="217" spans="1:31" ht="11.25" customHeight="1">
      <c r="A217" s="883"/>
      <c r="B217" s="1490"/>
      <c r="D217" s="1490"/>
      <c r="K217" s="1490"/>
      <c r="N217" s="1490"/>
      <c r="O217" s="1490"/>
      <c r="P217" s="1490"/>
      <c r="Q217" s="1490"/>
      <c r="S217" s="1490"/>
      <c r="T217" s="1490"/>
      <c r="U217" s="1490"/>
      <c r="V217" s="1490"/>
      <c r="W217" s="1490"/>
      <c r="X217" s="1490"/>
      <c r="Y217" s="1490"/>
      <c r="Z217" s="1490"/>
      <c r="AA217" s="1490"/>
      <c r="AB217" s="1490"/>
      <c r="AC217" s="1490"/>
      <c r="AD217" s="1490"/>
      <c r="AE217" s="1490"/>
    </row>
    <row r="218" spans="1:31" ht="11.25" customHeight="1">
      <c r="A218" s="883"/>
      <c r="B218" s="1490"/>
      <c r="D218" s="1490"/>
      <c r="K218" s="1490"/>
      <c r="N218" s="1490"/>
      <c r="O218" s="1490"/>
      <c r="P218" s="1490"/>
      <c r="Q218" s="1490"/>
      <c r="S218" s="1490"/>
      <c r="T218" s="1490"/>
      <c r="U218" s="1490"/>
      <c r="V218" s="1490"/>
      <c r="W218" s="1490"/>
      <c r="X218" s="1490"/>
      <c r="Y218" s="1490"/>
      <c r="Z218" s="1490"/>
      <c r="AA218" s="1490"/>
      <c r="AB218" s="1490"/>
      <c r="AC218" s="1490"/>
      <c r="AD218" s="1490"/>
      <c r="AE218" s="1490"/>
    </row>
  </sheetData>
  <sheetProtection formatColumns="0" formatRows="0" insertRows="0" deleteColumns="0" deleteRows="0" sort="0" autoFilter="0"/>
  <mergeCells count="9">
    <mergeCell ref="F48:J48"/>
    <mergeCell ref="F49:J49"/>
    <mergeCell ref="E6:I6"/>
    <mergeCell ref="E7:I7"/>
    <mergeCell ref="F10:G10"/>
    <mergeCell ref="J10:J14"/>
    <mergeCell ref="F11:G11"/>
    <mergeCell ref="F12:G12"/>
    <mergeCell ref="E13:G13"/>
  </mergeCells>
  <dataValidations count="5">
    <dataValidation type="textLength" operator="lessThanOrEqual" allowBlank="1" showInputMessage="1" showErrorMessage="1" errorTitle="Ошибка" error="Допускается ввод не более 900 символов!" prompt="Введите наименование прочих расходов" sqref="H33:I33">
      <formula1>900</formula1>
    </dataValidation>
    <dataValidation type="decimal" allowBlank="1" showErrorMessage="1" errorTitle="Ошибка" error="Допускается ввод только неотрицательных чисел!" sqref="H38:I39 H2:I2 H15:I15 H17:I32 H35:I35 H44:I46">
      <formula1>0</formula1>
      <formula2>9.99999999999999E+23</formula2>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Мониторинг&quot;." sqref="H43:I43">
      <formula1>900</formula1>
    </dataValidation>
    <dataValidation type="decimal" allowBlank="1" showErrorMessage="1" errorTitle="Ошибка" error="Допускается ввод только действительных чисел!" sqref="H36:I37">
      <formula1>-9.99999999999999E+23</formula1>
      <formula2>9.99999999999999E+23</formula2>
    </dataValidation>
    <dataValidation type="decimal" allowBlank="1" showErrorMessage="1" errorTitle="Ошибка" error="Допускается ввод только действительных чисел!" sqref="H40:I42">
      <formula1>-9.99999999999999E+37</formula1>
      <formula2>9.99999999999999E+37</formula2>
    </dataValidation>
  </dataValidations>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tint="-0.249977111117893"/>
  </sheetPr>
  <dimension ref="A1:AE209"/>
  <sheetViews>
    <sheetView showGridLines="0" topLeftCell="D5" zoomScale="90" workbookViewId="0"/>
  </sheetViews>
  <sheetFormatPr defaultColWidth="9.140625" defaultRowHeight="11.25" customHeight="1"/>
  <cols>
    <col min="1" max="1" width="10.7109375" style="1706" hidden="1" customWidth="1"/>
    <col min="2" max="2" width="16.85546875" style="1742" hidden="1" customWidth="1"/>
    <col min="3" max="3" width="5.5703125" style="1755" hidden="1" customWidth="1"/>
    <col min="4" max="4" width="3.7109375" style="1829" customWidth="1"/>
    <col min="5" max="5" width="7.7109375" style="1829" customWidth="1"/>
    <col min="6" max="6" width="54.5703125" style="1829" customWidth="1"/>
    <col min="7" max="7" width="10.42578125" style="1829" customWidth="1"/>
    <col min="8" max="8" width="40.7109375" style="1829" hidden="1" customWidth="1"/>
    <col min="9" max="9" width="40.7109375" style="1829" customWidth="1"/>
    <col min="10" max="10" width="102.85546875" style="1829" customWidth="1"/>
    <col min="11" max="11" width="9.7109375" style="1742" customWidth="1"/>
    <col min="12" max="12" width="5.28515625" style="1755" customWidth="1"/>
    <col min="13" max="13" width="3.7109375" style="1755" customWidth="1"/>
    <col min="14" max="17" width="3.7109375" style="1742" customWidth="1"/>
    <col min="18" max="18" width="10.5703125" style="1755" customWidth="1"/>
    <col min="19" max="19" width="34.7109375" style="1742" customWidth="1"/>
    <col min="20" max="20" width="9.42578125" style="1742" customWidth="1"/>
    <col min="21" max="21" width="9.140625" style="1711"/>
    <col min="22" max="26" width="9.140625" style="1742"/>
    <col min="27" max="31" width="9.140625" style="1721"/>
  </cols>
  <sheetData>
    <row r="1" spans="1:31" s="1742" customFormat="1" ht="11.25" hidden="1" customHeight="1">
      <c r="A1" s="880"/>
      <c r="C1" s="1495"/>
      <c r="D1" s="464"/>
      <c r="H1" s="1034">
        <v>4</v>
      </c>
      <c r="I1" s="1034">
        <v>4</v>
      </c>
      <c r="L1" s="1495"/>
      <c r="M1" s="1495"/>
      <c r="R1" s="1495"/>
    </row>
    <row r="2" spans="1:31" s="1742" customFormat="1" ht="22.5" hidden="1" customHeight="1">
      <c r="A2" s="880"/>
      <c r="C2" s="1495"/>
      <c r="D2" s="465"/>
      <c r="E2" s="1516"/>
      <c r="F2" s="467"/>
      <c r="G2" s="1515" t="s">
        <v>1720</v>
      </c>
      <c r="H2" s="468"/>
      <c r="I2" s="468"/>
      <c r="J2" s="469" t="s">
        <v>1723</v>
      </c>
      <c r="K2" s="470"/>
      <c r="L2" s="1495"/>
      <c r="M2" s="1495"/>
      <c r="R2" s="1495"/>
      <c r="U2" s="471"/>
      <c r="AA2" s="1491"/>
      <c r="AB2" s="1491"/>
      <c r="AC2" s="1491"/>
      <c r="AD2" s="1491"/>
      <c r="AE2" s="1491"/>
    </row>
    <row r="3" spans="1:31" ht="11.25" hidden="1" customHeight="1"/>
    <row r="4" spans="1:31" s="1721" customFormat="1" ht="11.25" hidden="1" customHeight="1">
      <c r="A4" s="880"/>
      <c r="B4" s="1034"/>
      <c r="C4" s="1495"/>
      <c r="D4" s="288"/>
      <c r="J4" s="1491">
        <v>4</v>
      </c>
      <c r="K4" s="1034"/>
      <c r="L4" s="1495"/>
      <c r="M4" s="1495"/>
      <c r="N4" s="1034"/>
      <c r="O4" s="1034"/>
      <c r="P4" s="1034"/>
      <c r="Q4" s="1034"/>
      <c r="R4" s="1495"/>
      <c r="S4" s="1034"/>
      <c r="T4" s="1034"/>
      <c r="U4" s="471"/>
      <c r="V4" s="1034"/>
      <c r="W4" s="1034"/>
      <c r="X4" s="1034"/>
      <c r="Y4" s="1034"/>
      <c r="Z4" s="1034"/>
    </row>
    <row r="6" spans="1:31" ht="24" customHeight="1">
      <c r="E6" s="2000" t="s">
        <v>1821</v>
      </c>
      <c r="F6" s="2001"/>
      <c r="G6" s="2001"/>
      <c r="H6" s="2001"/>
      <c r="I6" s="2002"/>
      <c r="J6" s="483"/>
    </row>
    <row r="7" spans="1:31" ht="24" customHeight="1">
      <c r="E7" s="2112" t="str">
        <f>IF(org=0,"Не определено",org)</f>
        <v>МУП г. Астрахани "Коммунэнерго"</v>
      </c>
      <c r="F7" s="2113"/>
      <c r="G7" s="2113"/>
      <c r="H7" s="2113"/>
      <c r="I7" s="2114"/>
    </row>
    <row r="8" spans="1:31" ht="11.25" customHeight="1">
      <c r="E8" s="1012"/>
      <c r="F8" s="1012"/>
      <c r="G8" s="1012"/>
      <c r="H8" s="1012"/>
      <c r="I8" s="1012"/>
    </row>
    <row r="9" spans="1:31" s="1755" customFormat="1" ht="0.75" customHeight="1">
      <c r="A9" s="1041"/>
      <c r="D9" s="1500"/>
      <c r="H9" s="785"/>
      <c r="I9" s="785" t="s">
        <v>117</v>
      </c>
    </row>
    <row r="10" spans="1:31" ht="11.25" customHeight="1">
      <c r="E10" s="624"/>
      <c r="F10" s="2295" t="s">
        <v>104</v>
      </c>
      <c r="G10" s="2296"/>
      <c r="H10" s="1517" t="str">
        <f>IF(H9="","",INDEX(DIFFERENTIATION_UNMERGE_VD,MATCH(H9,DIFFERENTIATION_ID_DIFF,0)))</f>
        <v/>
      </c>
      <c r="I10" s="1517" t="str">
        <f>IF(I9="","",INDEX(DIFFERENTIATION_UNMERGE_VD,MATCH(I9,DIFFERENTIATION_ID_DIFF,0)))</f>
        <v>Горячее водоснабжение</v>
      </c>
      <c r="J10" s="2007"/>
    </row>
    <row r="11" spans="1:31" ht="11.25" customHeight="1">
      <c r="E11" s="624"/>
      <c r="F11" s="2295" t="s">
        <v>1422</v>
      </c>
      <c r="G11" s="2296"/>
      <c r="H11" s="1517" t="str">
        <f>IF(H9="","",INDEX(DIFFERENTIATION_UNMERGE_AREA,MATCH(H9,DIFFERENTIATION_ID_DIFF,0)))</f>
        <v/>
      </c>
      <c r="I11" s="1517" t="str">
        <f>IF(I9="","",INDEX(DIFFERENTIATION_UNMERGE_AREA,MATCH(I9,DIFFERENTIATION_ID_DIFF,0)))</f>
        <v>без дифференциации</v>
      </c>
      <c r="J11" s="2007"/>
    </row>
    <row r="12" spans="1:31" ht="11.25" hidden="1" customHeight="1">
      <c r="E12" s="1520"/>
      <c r="F12" s="2335" t="s">
        <v>1423</v>
      </c>
      <c r="G12" s="2336"/>
      <c r="H12" s="1521" t="str">
        <f>IF(H9="","",INDEX(DIFFERENTIATION_UNMERGE_SYSTEM,MATCH(H9,DIFFERENTIATION_ID_DIFF,0)))</f>
        <v/>
      </c>
      <c r="I12" s="1521" t="str">
        <f>IF(I9="","",INDEX(DIFFERENTIATION_UNMERGE_SYSTEM,MATCH(I9,DIFFERENTIATION_ID_DIFF,0)))</f>
        <v>Котельная № Т-29</v>
      </c>
      <c r="J12" s="2007"/>
    </row>
    <row r="13" spans="1:31" ht="11.25" customHeight="1">
      <c r="E13" s="2297" t="s">
        <v>292</v>
      </c>
      <c r="F13" s="2298"/>
      <c r="G13" s="2298"/>
      <c r="H13" s="1514"/>
      <c r="I13" s="1514"/>
      <c r="J13" s="2007"/>
    </row>
    <row r="14" spans="1:31" ht="22.5" customHeight="1">
      <c r="E14" s="1515" t="s">
        <v>87</v>
      </c>
      <c r="F14" s="1518" t="s">
        <v>294</v>
      </c>
      <c r="G14" s="1518" t="s">
        <v>1601</v>
      </c>
      <c r="H14" s="1518" t="s">
        <v>295</v>
      </c>
      <c r="I14" s="1518" t="s">
        <v>295</v>
      </c>
      <c r="J14" s="2007"/>
    </row>
    <row r="15" spans="1:31" ht="18.75" customHeight="1">
      <c r="D15" s="1497"/>
      <c r="E15" s="1489" t="s">
        <v>108</v>
      </c>
      <c r="F15" s="620" t="s">
        <v>1822</v>
      </c>
      <c r="G15" s="1515" t="s">
        <v>1720</v>
      </c>
      <c r="H15" s="484"/>
      <c r="I15" s="484"/>
      <c r="J15" s="207" t="s">
        <v>1823</v>
      </c>
      <c r="K15" s="470" t="s">
        <v>1774</v>
      </c>
    </row>
    <row r="16" spans="1:31" ht="22.5" customHeight="1">
      <c r="D16" s="1497"/>
      <c r="E16" s="1489" t="s">
        <v>109</v>
      </c>
      <c r="F16" s="1523" t="s">
        <v>1824</v>
      </c>
      <c r="G16" s="1515" t="s">
        <v>1720</v>
      </c>
      <c r="H16" s="485">
        <f>SUM(H17,H20:H27)</f>
        <v>0</v>
      </c>
      <c r="I16" s="485">
        <f>SUM(I17,I20:I27)</f>
        <v>0</v>
      </c>
      <c r="J16" s="207" t="s">
        <v>1825</v>
      </c>
      <c r="K16" s="470" t="s">
        <v>1774</v>
      </c>
    </row>
    <row r="17" spans="1:31" ht="33.75" customHeight="1">
      <c r="D17" s="1497"/>
      <c r="E17" s="1522" t="s">
        <v>505</v>
      </c>
      <c r="F17" s="1525" t="s">
        <v>1826</v>
      </c>
      <c r="G17" s="1512" t="s">
        <v>1720</v>
      </c>
      <c r="H17" s="484"/>
      <c r="I17" s="484"/>
      <c r="J17" s="207" t="s">
        <v>1827</v>
      </c>
      <c r="K17" s="470"/>
    </row>
    <row r="18" spans="1:31" ht="18.75" customHeight="1">
      <c r="D18" s="1497"/>
      <c r="E18" s="1522" t="s">
        <v>1459</v>
      </c>
      <c r="F18" s="1526" t="s">
        <v>1828</v>
      </c>
      <c r="G18" s="1512" t="s">
        <v>1720</v>
      </c>
      <c r="H18" s="484"/>
      <c r="I18" s="484"/>
      <c r="J18" s="207"/>
      <c r="K18" s="470"/>
    </row>
    <row r="19" spans="1:31" ht="22.5" customHeight="1">
      <c r="D19" s="1497"/>
      <c r="E19" s="1522" t="s">
        <v>1781</v>
      </c>
      <c r="F19" s="1526" t="s">
        <v>1829</v>
      </c>
      <c r="G19" s="1512" t="s">
        <v>1720</v>
      </c>
      <c r="H19" s="484"/>
      <c r="I19" s="484"/>
      <c r="J19" s="207"/>
      <c r="K19" s="470"/>
    </row>
    <row r="20" spans="1:31" ht="33.75" customHeight="1">
      <c r="D20" s="1497"/>
      <c r="E20" s="1522" t="s">
        <v>299</v>
      </c>
      <c r="F20" s="1525" t="s">
        <v>1830</v>
      </c>
      <c r="G20" s="1512" t="s">
        <v>1720</v>
      </c>
      <c r="H20" s="484"/>
      <c r="I20" s="484"/>
      <c r="J20" s="207"/>
      <c r="K20" s="470"/>
    </row>
    <row r="21" spans="1:31" ht="33.75" customHeight="1">
      <c r="D21" s="1497"/>
      <c r="E21" s="1522" t="s">
        <v>302</v>
      </c>
      <c r="F21" s="1525" t="s">
        <v>1831</v>
      </c>
      <c r="G21" s="1512" t="s">
        <v>1720</v>
      </c>
      <c r="H21" s="484"/>
      <c r="I21" s="484"/>
      <c r="J21" s="207"/>
      <c r="K21" s="470"/>
    </row>
    <row r="22" spans="1:31" ht="56.25" customHeight="1">
      <c r="D22" s="1497"/>
      <c r="E22" s="1522" t="s">
        <v>514</v>
      </c>
      <c r="F22" s="1525" t="s">
        <v>1832</v>
      </c>
      <c r="G22" s="1512" t="s">
        <v>1720</v>
      </c>
      <c r="H22" s="484"/>
      <c r="I22" s="484"/>
      <c r="J22" s="207"/>
      <c r="K22" s="470"/>
    </row>
    <row r="23" spans="1:31" ht="33.75" customHeight="1">
      <c r="D23" s="1497"/>
      <c r="E23" s="1522" t="s">
        <v>516</v>
      </c>
      <c r="F23" s="1525" t="s">
        <v>1833</v>
      </c>
      <c r="G23" s="1512" t="s">
        <v>1720</v>
      </c>
      <c r="H23" s="484"/>
      <c r="I23" s="484"/>
      <c r="J23" s="207"/>
      <c r="K23" s="470"/>
    </row>
    <row r="24" spans="1:31" ht="33.75" customHeight="1">
      <c r="D24" s="1497"/>
      <c r="E24" s="1522" t="s">
        <v>530</v>
      </c>
      <c r="F24" s="1525" t="s">
        <v>1834</v>
      </c>
      <c r="G24" s="1512" t="s">
        <v>1720</v>
      </c>
      <c r="H24" s="484"/>
      <c r="I24" s="484"/>
      <c r="J24" s="207"/>
      <c r="K24" s="470"/>
    </row>
    <row r="25" spans="1:31" ht="22.5" customHeight="1">
      <c r="D25" s="1497"/>
      <c r="E25" s="1522" t="s">
        <v>541</v>
      </c>
      <c r="F25" s="1525" t="s">
        <v>1835</v>
      </c>
      <c r="G25" s="1512" t="s">
        <v>1720</v>
      </c>
      <c r="H25" s="484"/>
      <c r="I25" s="484"/>
      <c r="J25" s="207"/>
      <c r="K25" s="470"/>
    </row>
    <row r="26" spans="1:31" ht="67.5" customHeight="1">
      <c r="D26" s="1497"/>
      <c r="E26" s="1522" t="s">
        <v>552</v>
      </c>
      <c r="F26" s="1525" t="s">
        <v>1836</v>
      </c>
      <c r="G26" s="1512" t="s">
        <v>1720</v>
      </c>
      <c r="H26" s="484"/>
      <c r="I26" s="484"/>
      <c r="J26" s="207"/>
      <c r="K26" s="470"/>
    </row>
    <row r="27" spans="1:31" s="1742" customFormat="1" ht="22.5" customHeight="1">
      <c r="A27" s="880"/>
      <c r="C27" s="1495"/>
      <c r="D27" s="1497"/>
      <c r="E27" s="1488" t="s">
        <v>560</v>
      </c>
      <c r="F27" s="1487" t="s">
        <v>1837</v>
      </c>
      <c r="G27" s="1513" t="s">
        <v>1720</v>
      </c>
      <c r="H27" s="506">
        <f>SUM(H28:H29)</f>
        <v>0</v>
      </c>
      <c r="I27" s="506">
        <f>SUM(I28:I29)</f>
        <v>0</v>
      </c>
      <c r="J27" s="207" t="s">
        <v>1799</v>
      </c>
      <c r="K27" s="470"/>
      <c r="L27" s="1495"/>
      <c r="M27" s="1495"/>
      <c r="R27" s="1495"/>
      <c r="U27" s="471"/>
      <c r="AA27" s="1491"/>
      <c r="AB27" s="1491"/>
      <c r="AC27" s="1491"/>
      <c r="AD27" s="1491"/>
      <c r="AE27" s="1491"/>
    </row>
    <row r="28" spans="1:31" s="1755" customFormat="1" ht="0.75" customHeight="1">
      <c r="A28" s="1041"/>
      <c r="D28" s="475"/>
      <c r="E28" s="708" t="str">
        <f>E27&amp;".0"</f>
        <v>2.9.0</v>
      </c>
      <c r="F28" s="884"/>
      <c r="G28" s="478"/>
      <c r="H28" s="885"/>
      <c r="I28" s="885"/>
      <c r="J28" s="886"/>
    </row>
    <row r="29" spans="1:31" s="1742" customFormat="1" ht="18.75" customHeight="1">
      <c r="A29" s="880"/>
      <c r="C29" s="1495"/>
      <c r="D29" s="1492"/>
      <c r="E29" s="497"/>
      <c r="F29" s="1524" t="s">
        <v>1739</v>
      </c>
      <c r="G29" s="499"/>
      <c r="H29" s="500"/>
      <c r="I29" s="500"/>
      <c r="J29" s="219" t="s">
        <v>1800</v>
      </c>
      <c r="K29" s="470"/>
      <c r="L29" s="1495"/>
      <c r="M29" s="1495"/>
      <c r="R29" s="1495"/>
      <c r="U29" s="471"/>
      <c r="AA29" s="1491"/>
      <c r="AB29" s="1491"/>
      <c r="AC29" s="1491"/>
      <c r="AD29" s="1491"/>
      <c r="AE29" s="1491"/>
    </row>
    <row r="30" spans="1:31" s="1742" customFormat="1" ht="22.5" customHeight="1">
      <c r="A30" s="880"/>
      <c r="C30" s="1495"/>
      <c r="D30" s="1497"/>
      <c r="E30" s="1522" t="s">
        <v>89</v>
      </c>
      <c r="F30" s="1519" t="s">
        <v>1838</v>
      </c>
      <c r="G30" s="1512" t="s">
        <v>1720</v>
      </c>
      <c r="H30" s="484"/>
      <c r="I30" s="484"/>
      <c r="J30" s="207"/>
      <c r="K30" s="470"/>
      <c r="L30" s="1495"/>
      <c r="M30" s="1495"/>
      <c r="R30" s="1495"/>
      <c r="U30" s="471"/>
      <c r="AA30" s="1491"/>
      <c r="AB30" s="1491"/>
      <c r="AC30" s="1491"/>
      <c r="AD30" s="1491"/>
      <c r="AE30" s="1491"/>
    </row>
    <row r="31" spans="1:31" s="1742" customFormat="1" ht="33.75" customHeight="1">
      <c r="A31" s="880"/>
      <c r="C31" s="1495"/>
      <c r="D31" s="502"/>
      <c r="E31" s="1522" t="s">
        <v>90</v>
      </c>
      <c r="F31" s="1519" t="s">
        <v>1839</v>
      </c>
      <c r="G31" s="1512" t="s">
        <v>1720</v>
      </c>
      <c r="H31" s="484"/>
      <c r="I31" s="484"/>
      <c r="J31" s="207" t="s">
        <v>1840</v>
      </c>
      <c r="K31" s="470"/>
      <c r="L31" s="1495"/>
      <c r="M31" s="1495"/>
      <c r="R31" s="1495"/>
      <c r="U31" s="471"/>
      <c r="AA31" s="1491"/>
      <c r="AB31" s="1491"/>
      <c r="AC31" s="1491"/>
      <c r="AD31" s="1491"/>
      <c r="AE31" s="1491"/>
    </row>
    <row r="32" spans="1:31" s="1742" customFormat="1" ht="22.5" customHeight="1">
      <c r="A32" s="880"/>
      <c r="C32" s="1495"/>
      <c r="D32" s="1497"/>
      <c r="E32" s="1522" t="s">
        <v>613</v>
      </c>
      <c r="F32" s="604" t="s">
        <v>1807</v>
      </c>
      <c r="G32" s="1512" t="s">
        <v>1720</v>
      </c>
      <c r="H32" s="484"/>
      <c r="I32" s="484"/>
      <c r="J32" s="207" t="s">
        <v>1841</v>
      </c>
      <c r="K32" s="470"/>
      <c r="L32" s="1495"/>
      <c r="M32" s="1495"/>
      <c r="R32" s="1495"/>
      <c r="U32" s="471"/>
      <c r="AA32" s="1491"/>
      <c r="AB32" s="1491"/>
      <c r="AC32" s="1491"/>
      <c r="AD32" s="1491"/>
      <c r="AE32" s="1491"/>
    </row>
    <row r="33" spans="1:31" s="1742" customFormat="1" ht="22.5" customHeight="1">
      <c r="A33" s="880"/>
      <c r="C33" s="1495"/>
      <c r="D33" s="1497"/>
      <c r="E33" s="1522" t="s">
        <v>632</v>
      </c>
      <c r="F33" s="604" t="s">
        <v>1842</v>
      </c>
      <c r="G33" s="1512" t="s">
        <v>1720</v>
      </c>
      <c r="H33" s="484"/>
      <c r="I33" s="484"/>
      <c r="J33" s="207" t="s">
        <v>1843</v>
      </c>
      <c r="K33" s="470"/>
      <c r="L33" s="1495"/>
      <c r="M33" s="1495"/>
      <c r="R33" s="1495"/>
      <c r="U33" s="471"/>
      <c r="AA33" s="1491"/>
      <c r="AB33" s="1491"/>
      <c r="AC33" s="1491"/>
      <c r="AD33" s="1491"/>
      <c r="AE33" s="1491"/>
    </row>
    <row r="34" spans="1:31" s="1742" customFormat="1" ht="22.5" customHeight="1">
      <c r="A34" s="880"/>
      <c r="C34" s="1495"/>
      <c r="D34" s="1497"/>
      <c r="E34" s="1522" t="s">
        <v>1616</v>
      </c>
      <c r="F34" s="604" t="s">
        <v>1810</v>
      </c>
      <c r="G34" s="1512" t="s">
        <v>1720</v>
      </c>
      <c r="H34" s="484"/>
      <c r="I34" s="484"/>
      <c r="J34" s="207" t="s">
        <v>1844</v>
      </c>
      <c r="K34" s="470"/>
      <c r="L34" s="1495"/>
      <c r="M34" s="1495"/>
      <c r="R34" s="1495"/>
      <c r="U34" s="471"/>
      <c r="AA34" s="1491"/>
      <c r="AB34" s="1491"/>
      <c r="AC34" s="1491"/>
      <c r="AD34" s="1491"/>
      <c r="AE34" s="1491"/>
    </row>
    <row r="35" spans="1:31" s="1742" customFormat="1" ht="33.75" customHeight="1">
      <c r="A35" s="880"/>
      <c r="C35" s="1495" t="s">
        <v>1749</v>
      </c>
      <c r="D35" s="1497"/>
      <c r="E35" s="1522" t="s">
        <v>110</v>
      </c>
      <c r="F35" s="1519" t="s">
        <v>638</v>
      </c>
      <c r="G35" s="1515" t="s">
        <v>298</v>
      </c>
      <c r="H35" s="1958"/>
      <c r="I35" s="1958"/>
      <c r="J35" s="207" t="s">
        <v>1845</v>
      </c>
      <c r="K35" s="470"/>
      <c r="L35" s="1495"/>
      <c r="M35" s="1495"/>
      <c r="R35" s="1495"/>
      <c r="U35" s="471"/>
      <c r="AA35" s="1491"/>
      <c r="AB35" s="1491"/>
      <c r="AC35" s="1491"/>
      <c r="AD35" s="1491"/>
      <c r="AE35" s="1491"/>
    </row>
    <row r="36" spans="1:31" s="1742" customFormat="1" ht="22.5" customHeight="1">
      <c r="A36" s="880"/>
      <c r="C36" s="1495"/>
      <c r="D36" s="1497"/>
      <c r="E36" s="1522" t="s">
        <v>91</v>
      </c>
      <c r="F36" s="1519" t="s">
        <v>1846</v>
      </c>
      <c r="G36" s="1512" t="s">
        <v>1815</v>
      </c>
      <c r="H36" s="472"/>
      <c r="I36" s="472"/>
      <c r="J36" s="207" t="s">
        <v>1816</v>
      </c>
      <c r="K36" s="470"/>
      <c r="L36" s="1495"/>
      <c r="M36" s="1495"/>
      <c r="R36" s="1495"/>
      <c r="U36" s="471"/>
      <c r="AA36" s="1491"/>
      <c r="AB36" s="1491"/>
      <c r="AC36" s="1491"/>
      <c r="AD36" s="1491"/>
      <c r="AE36" s="1491"/>
    </row>
    <row r="37" spans="1:31" s="1742" customFormat="1" ht="22.5" customHeight="1">
      <c r="A37" s="880"/>
      <c r="C37" s="1495"/>
      <c r="D37" s="1497"/>
      <c r="E37" s="1522" t="s">
        <v>92</v>
      </c>
      <c r="F37" s="1519" t="s">
        <v>1847</v>
      </c>
      <c r="G37" s="1512" t="s">
        <v>1818</v>
      </c>
      <c r="H37" s="472"/>
      <c r="I37" s="472"/>
      <c r="J37" s="207" t="s">
        <v>1819</v>
      </c>
      <c r="K37" s="470"/>
      <c r="L37" s="1495"/>
      <c r="M37" s="1495"/>
      <c r="R37" s="1495"/>
      <c r="U37" s="471"/>
      <c r="AA37" s="1491"/>
      <c r="AB37" s="1491"/>
      <c r="AC37" s="1491"/>
      <c r="AD37" s="1491"/>
      <c r="AE37" s="1491"/>
    </row>
    <row r="38" spans="1:31" ht="11.25" customHeight="1">
      <c r="D38" s="1497"/>
    </row>
    <row r="39" spans="1:31" ht="26.25" customHeight="1">
      <c r="D39" s="1497"/>
      <c r="E39" s="1126" t="s">
        <v>1511</v>
      </c>
      <c r="F39" s="2220" t="s">
        <v>1848</v>
      </c>
      <c r="G39" s="2220"/>
      <c r="H39" s="2220"/>
      <c r="I39" s="2220"/>
      <c r="J39" s="2220"/>
    </row>
    <row r="40" spans="1:31" s="1708" customFormat="1" ht="37.5" customHeight="1">
      <c r="A40" s="880"/>
      <c r="B40" s="1495"/>
      <c r="C40" s="1495"/>
      <c r="D40" s="275"/>
      <c r="F40" s="2220" t="s">
        <v>1849</v>
      </c>
      <c r="G40" s="2220"/>
      <c r="H40" s="2220"/>
      <c r="I40" s="2220"/>
      <c r="J40" s="2220"/>
      <c r="K40" s="1034"/>
      <c r="L40" s="1495"/>
      <c r="M40" s="1495"/>
      <c r="N40" s="1034"/>
      <c r="O40" s="1034"/>
      <c r="P40" s="1034"/>
      <c r="Q40" s="1034"/>
      <c r="R40" s="1495"/>
      <c r="S40" s="1034"/>
      <c r="T40" s="1034"/>
      <c r="U40" s="471"/>
      <c r="V40" s="1034"/>
      <c r="W40" s="1034"/>
      <c r="X40" s="1034"/>
      <c r="Y40" s="1034"/>
      <c r="Z40" s="1034"/>
      <c r="AA40" s="1491"/>
      <c r="AB40" s="493"/>
      <c r="AC40" s="493"/>
      <c r="AD40" s="493"/>
      <c r="AE40" s="493"/>
    </row>
    <row r="41" spans="1:31" s="1708" customFormat="1" ht="11.25" customHeight="1">
      <c r="A41" s="880"/>
      <c r="B41" s="1495"/>
      <c r="C41" s="1495"/>
      <c r="D41" s="275"/>
      <c r="K41" s="1034"/>
      <c r="L41" s="1495"/>
      <c r="M41" s="1495"/>
      <c r="N41" s="1034"/>
      <c r="O41" s="1034"/>
      <c r="P41" s="1034"/>
      <c r="Q41" s="1034"/>
      <c r="R41" s="1495"/>
      <c r="S41" s="1034"/>
      <c r="T41" s="1034"/>
      <c r="U41" s="471"/>
      <c r="V41" s="1034"/>
      <c r="W41" s="1034"/>
      <c r="X41" s="1034"/>
      <c r="Y41" s="1034"/>
      <c r="Z41" s="1034"/>
      <c r="AA41" s="1491"/>
      <c r="AB41" s="493"/>
      <c r="AC41" s="493"/>
      <c r="AD41" s="493"/>
      <c r="AE41" s="493"/>
    </row>
    <row r="42" spans="1:31" s="1708" customFormat="1" ht="11.25" customHeight="1">
      <c r="A42" s="880"/>
      <c r="B42" s="1495"/>
      <c r="C42" s="1495"/>
      <c r="D42" s="275"/>
      <c r="K42" s="1034"/>
      <c r="L42" s="1495"/>
      <c r="M42" s="1495"/>
      <c r="N42" s="1034"/>
      <c r="O42" s="1034"/>
      <c r="P42" s="1034"/>
      <c r="Q42" s="1034"/>
      <c r="R42" s="1495"/>
      <c r="S42" s="1034"/>
      <c r="T42" s="1034"/>
      <c r="U42" s="471"/>
      <c r="V42" s="1034"/>
      <c r="W42" s="1034"/>
      <c r="X42" s="1034"/>
      <c r="Y42" s="1034"/>
      <c r="Z42" s="1034"/>
      <c r="AA42" s="1491"/>
      <c r="AB42" s="493"/>
      <c r="AC42" s="493"/>
      <c r="AD42" s="493"/>
      <c r="AE42" s="493"/>
    </row>
    <row r="43" spans="1:31" s="1708" customFormat="1" ht="11.25" customHeight="1">
      <c r="A43" s="880"/>
      <c r="B43" s="1495"/>
      <c r="C43" s="1495"/>
      <c r="D43" s="275"/>
      <c r="H43" s="493"/>
      <c r="I43" s="493"/>
      <c r="K43" s="1034"/>
      <c r="L43" s="1495"/>
      <c r="M43" s="1495"/>
      <c r="N43" s="1034"/>
      <c r="O43" s="1034"/>
      <c r="P43" s="1034"/>
      <c r="Q43" s="1034"/>
      <c r="R43" s="1495"/>
      <c r="S43" s="1034"/>
      <c r="T43" s="1034"/>
      <c r="U43" s="471"/>
      <c r="V43" s="1034"/>
      <c r="W43" s="1034"/>
      <c r="X43" s="1034"/>
      <c r="Y43" s="1034"/>
      <c r="Z43" s="1034"/>
      <c r="AA43" s="1491"/>
      <c r="AB43" s="493"/>
      <c r="AC43" s="493"/>
      <c r="AD43" s="493"/>
      <c r="AE43" s="493"/>
    </row>
    <row r="44" spans="1:31" s="1708" customFormat="1" ht="11.25" customHeight="1">
      <c r="A44" s="880"/>
      <c r="B44" s="1495"/>
      <c r="C44" s="1495"/>
      <c r="D44" s="275"/>
      <c r="K44" s="1034"/>
      <c r="L44" s="1495"/>
      <c r="M44" s="1495"/>
      <c r="N44" s="1034"/>
      <c r="O44" s="1034"/>
      <c r="P44" s="1034"/>
      <c r="Q44" s="1034"/>
      <c r="R44" s="1495"/>
      <c r="S44" s="1034"/>
      <c r="T44" s="1034"/>
      <c r="U44" s="471"/>
      <c r="V44" s="1034"/>
      <c r="W44" s="1034"/>
      <c r="X44" s="1034"/>
      <c r="Y44" s="1034"/>
      <c r="Z44" s="1034"/>
      <c r="AA44" s="1491"/>
      <c r="AB44" s="493"/>
      <c r="AC44" s="493"/>
      <c r="AD44" s="493"/>
      <c r="AE44" s="493"/>
    </row>
    <row r="45" spans="1:31" s="1708" customFormat="1" ht="11.25" customHeight="1">
      <c r="A45" s="880"/>
      <c r="B45" s="1495"/>
      <c r="C45" s="1495"/>
      <c r="D45" s="275"/>
      <c r="K45" s="1034"/>
      <c r="L45" s="1495"/>
      <c r="M45" s="1495"/>
      <c r="N45" s="1034"/>
      <c r="O45" s="1034"/>
      <c r="P45" s="1034"/>
      <c r="Q45" s="1034"/>
      <c r="R45" s="1495"/>
      <c r="S45" s="1034"/>
      <c r="T45" s="1034"/>
      <c r="U45" s="471"/>
      <c r="V45" s="1034"/>
      <c r="W45" s="1034"/>
      <c r="X45" s="1034"/>
      <c r="Y45" s="1034"/>
      <c r="Z45" s="1034"/>
      <c r="AA45" s="1491"/>
      <c r="AB45" s="493"/>
      <c r="AC45" s="493"/>
      <c r="AD45" s="493"/>
      <c r="AE45" s="493"/>
    </row>
    <row r="46" spans="1:31" s="1708" customFormat="1" ht="11.25" customHeight="1">
      <c r="A46" s="880"/>
      <c r="B46" s="1495"/>
      <c r="C46" s="1495"/>
      <c r="D46" s="275"/>
      <c r="K46" s="1034"/>
      <c r="L46" s="1495"/>
      <c r="M46" s="1495"/>
      <c r="N46" s="1034"/>
      <c r="O46" s="1034"/>
      <c r="P46" s="1034"/>
      <c r="Q46" s="1034"/>
      <c r="R46" s="1495"/>
      <c r="S46" s="1034"/>
      <c r="T46" s="1034"/>
      <c r="U46" s="471"/>
      <c r="V46" s="1034"/>
      <c r="W46" s="1034"/>
      <c r="X46" s="1034"/>
      <c r="Y46" s="1034"/>
      <c r="Z46" s="1034"/>
      <c r="AA46" s="1491"/>
      <c r="AB46" s="493"/>
      <c r="AC46" s="493"/>
      <c r="AD46" s="493"/>
      <c r="AE46" s="493"/>
    </row>
    <row r="47" spans="1:31" s="1708" customFormat="1" ht="11.25" customHeight="1">
      <c r="A47" s="880"/>
      <c r="B47" s="1495"/>
      <c r="C47" s="1495"/>
      <c r="D47" s="275"/>
      <c r="K47" s="1034"/>
      <c r="L47" s="1495"/>
      <c r="M47" s="1495"/>
      <c r="N47" s="1034"/>
      <c r="O47" s="1034"/>
      <c r="P47" s="1034"/>
      <c r="Q47" s="1034"/>
      <c r="R47" s="1495"/>
      <c r="S47" s="1034"/>
      <c r="T47" s="1034"/>
      <c r="U47" s="471"/>
      <c r="V47" s="1034"/>
      <c r="W47" s="1034"/>
      <c r="X47" s="1034"/>
      <c r="Y47" s="1034"/>
      <c r="Z47" s="1034"/>
      <c r="AA47" s="1491"/>
      <c r="AB47" s="493"/>
      <c r="AC47" s="493"/>
      <c r="AD47" s="493"/>
      <c r="AE47" s="493"/>
    </row>
    <row r="48" spans="1:31" s="1708" customFormat="1" ht="11.25" customHeight="1">
      <c r="A48" s="880"/>
      <c r="B48" s="1495"/>
      <c r="C48" s="1495"/>
      <c r="D48" s="275"/>
      <c r="K48" s="1034"/>
      <c r="L48" s="1495"/>
      <c r="M48" s="1495"/>
      <c r="N48" s="1034"/>
      <c r="O48" s="1034"/>
      <c r="P48" s="1034"/>
      <c r="Q48" s="1034"/>
      <c r="R48" s="1495"/>
      <c r="S48" s="1034"/>
      <c r="T48" s="1034"/>
      <c r="U48" s="471"/>
      <c r="V48" s="1034"/>
      <c r="W48" s="1034"/>
      <c r="X48" s="1034"/>
      <c r="Y48" s="1034"/>
      <c r="Z48" s="1034"/>
      <c r="AA48" s="1491"/>
      <c r="AB48" s="493"/>
      <c r="AC48" s="493"/>
      <c r="AD48" s="493"/>
      <c r="AE48" s="493"/>
    </row>
    <row r="49" spans="1:31" s="1708" customFormat="1" ht="11.25" customHeight="1">
      <c r="A49" s="880"/>
      <c r="B49" s="1495"/>
      <c r="C49" s="1495"/>
      <c r="D49" s="275"/>
      <c r="K49" s="1034"/>
      <c r="L49" s="1495"/>
      <c r="M49" s="1495"/>
      <c r="N49" s="1034"/>
      <c r="O49" s="1034"/>
      <c r="P49" s="1034"/>
      <c r="Q49" s="1034"/>
      <c r="R49" s="1495"/>
      <c r="S49" s="1034"/>
      <c r="T49" s="1034"/>
      <c r="U49" s="471"/>
      <c r="V49" s="1034"/>
      <c r="W49" s="1034"/>
      <c r="X49" s="1034"/>
      <c r="Y49" s="1034"/>
      <c r="Z49" s="1034"/>
      <c r="AA49" s="1491"/>
      <c r="AB49" s="493"/>
      <c r="AC49" s="493"/>
      <c r="AD49" s="493"/>
      <c r="AE49" s="493"/>
    </row>
    <row r="50" spans="1:31" s="1708" customFormat="1" ht="11.25" customHeight="1">
      <c r="A50" s="880"/>
      <c r="B50" s="1495"/>
      <c r="C50" s="1495"/>
      <c r="D50" s="275"/>
      <c r="K50" s="1034"/>
      <c r="L50" s="1495"/>
      <c r="M50" s="1495"/>
      <c r="N50" s="1034"/>
      <c r="O50" s="1034"/>
      <c r="P50" s="1034"/>
      <c r="Q50" s="1034"/>
      <c r="R50" s="1495"/>
      <c r="S50" s="1034"/>
      <c r="T50" s="1034"/>
      <c r="U50" s="471"/>
      <c r="V50" s="1034"/>
      <c r="W50" s="1034"/>
      <c r="X50" s="1034"/>
      <c r="Y50" s="1034"/>
      <c r="Z50" s="1034"/>
      <c r="AA50" s="1491"/>
      <c r="AB50" s="493"/>
      <c r="AC50" s="493"/>
      <c r="AD50" s="493"/>
      <c r="AE50" s="493"/>
    </row>
    <row r="51" spans="1:31" s="1708" customFormat="1" ht="11.25" customHeight="1">
      <c r="A51" s="880"/>
      <c r="B51" s="1495"/>
      <c r="C51" s="1495"/>
      <c r="D51" s="275"/>
      <c r="K51" s="1034"/>
      <c r="L51" s="1495"/>
      <c r="M51" s="1495"/>
      <c r="N51" s="1034"/>
      <c r="O51" s="1034"/>
      <c r="P51" s="1034"/>
      <c r="Q51" s="1034"/>
      <c r="R51" s="1495"/>
      <c r="S51" s="1034"/>
      <c r="T51" s="1034"/>
      <c r="U51" s="471"/>
      <c r="V51" s="1034"/>
      <c r="W51" s="1034"/>
      <c r="X51" s="1034"/>
      <c r="Y51" s="1034"/>
      <c r="Z51" s="1034"/>
      <c r="AA51" s="1491"/>
      <c r="AB51" s="493"/>
      <c r="AC51" s="493"/>
      <c r="AD51" s="493"/>
      <c r="AE51" s="493"/>
    </row>
    <row r="52" spans="1:31" s="1708" customFormat="1" ht="11.25" customHeight="1">
      <c r="A52" s="880"/>
      <c r="B52" s="1495"/>
      <c r="C52" s="1495"/>
      <c r="D52" s="275"/>
      <c r="K52" s="1034"/>
      <c r="L52" s="1495"/>
      <c r="M52" s="1495"/>
      <c r="N52" s="1034"/>
      <c r="O52" s="1034"/>
      <c r="P52" s="1034"/>
      <c r="Q52" s="1034"/>
      <c r="R52" s="1495"/>
      <c r="S52" s="1034"/>
      <c r="T52" s="1034"/>
      <c r="U52" s="471"/>
      <c r="V52" s="1034"/>
      <c r="W52" s="1034"/>
      <c r="X52" s="1034"/>
      <c r="Y52" s="1034"/>
      <c r="Z52" s="1034"/>
      <c r="AA52" s="1491"/>
      <c r="AB52" s="493"/>
      <c r="AC52" s="493"/>
      <c r="AD52" s="493"/>
      <c r="AE52" s="493"/>
    </row>
    <row r="53" spans="1:31" s="1708" customFormat="1" ht="11.25" customHeight="1">
      <c r="A53" s="880"/>
      <c r="B53" s="1495"/>
      <c r="C53" s="1495"/>
      <c r="D53" s="275"/>
      <c r="K53" s="1034"/>
      <c r="L53" s="1495"/>
      <c r="M53" s="1495"/>
      <c r="N53" s="1034"/>
      <c r="O53" s="1034"/>
      <c r="P53" s="1034"/>
      <c r="Q53" s="1034"/>
      <c r="R53" s="1495"/>
      <c r="S53" s="1034"/>
      <c r="T53" s="1034"/>
      <c r="U53" s="471"/>
      <c r="V53" s="1034"/>
      <c r="W53" s="1034"/>
      <c r="X53" s="1034"/>
      <c r="Y53" s="1034"/>
      <c r="Z53" s="1034"/>
      <c r="AA53" s="1491"/>
      <c r="AB53" s="493"/>
      <c r="AC53" s="493"/>
      <c r="AD53" s="493"/>
      <c r="AE53" s="493"/>
    </row>
    <row r="54" spans="1:31" s="1708" customFormat="1" ht="11.25" customHeight="1">
      <c r="A54" s="880"/>
      <c r="B54" s="1495"/>
      <c r="C54" s="1495"/>
      <c r="D54" s="275"/>
      <c r="K54" s="1034"/>
      <c r="L54" s="1495"/>
      <c r="M54" s="1495"/>
      <c r="N54" s="1034"/>
      <c r="O54" s="1034"/>
      <c r="P54" s="1034"/>
      <c r="Q54" s="1034"/>
      <c r="R54" s="1495"/>
      <c r="S54" s="1034"/>
      <c r="T54" s="1034"/>
      <c r="U54" s="471"/>
      <c r="V54" s="1034"/>
      <c r="W54" s="1034"/>
      <c r="X54" s="1034"/>
      <c r="Y54" s="1034"/>
      <c r="Z54" s="1034"/>
      <c r="AA54" s="1491"/>
      <c r="AB54" s="493"/>
      <c r="AC54" s="493"/>
      <c r="AD54" s="493"/>
      <c r="AE54" s="493"/>
    </row>
    <row r="55" spans="1:31" s="1708" customFormat="1" ht="11.25" customHeight="1">
      <c r="A55" s="880"/>
      <c r="B55" s="1495"/>
      <c r="C55" s="1495"/>
      <c r="D55" s="275"/>
      <c r="K55" s="1034"/>
      <c r="L55" s="1495"/>
      <c r="M55" s="1495"/>
      <c r="N55" s="1034"/>
      <c r="O55" s="1034"/>
      <c r="P55" s="1034"/>
      <c r="Q55" s="1034"/>
      <c r="R55" s="1495"/>
      <c r="S55" s="1034"/>
      <c r="T55" s="1034"/>
      <c r="U55" s="471"/>
      <c r="V55" s="1034"/>
      <c r="W55" s="1034"/>
      <c r="X55" s="1034"/>
      <c r="Y55" s="1034"/>
      <c r="Z55" s="1034"/>
      <c r="AA55" s="1491"/>
      <c r="AB55" s="493"/>
      <c r="AC55" s="493"/>
      <c r="AD55" s="493"/>
      <c r="AE55" s="493"/>
    </row>
    <row r="56" spans="1:31" s="1708" customFormat="1" ht="11.25" customHeight="1">
      <c r="A56" s="880"/>
      <c r="B56" s="1495"/>
      <c r="C56" s="1495"/>
      <c r="D56" s="275"/>
      <c r="K56" s="1034"/>
      <c r="L56" s="1495"/>
      <c r="M56" s="1495"/>
      <c r="N56" s="1034"/>
      <c r="O56" s="1034"/>
      <c r="P56" s="1034"/>
      <c r="Q56" s="1034"/>
      <c r="R56" s="1495"/>
      <c r="S56" s="1034"/>
      <c r="T56" s="1034"/>
      <c r="U56" s="471"/>
      <c r="V56" s="1034"/>
      <c r="W56" s="1034"/>
      <c r="X56" s="1034"/>
      <c r="Y56" s="1034"/>
      <c r="Z56" s="1034"/>
      <c r="AA56" s="1491"/>
      <c r="AB56" s="493"/>
      <c r="AC56" s="493"/>
      <c r="AD56" s="493"/>
      <c r="AE56" s="493"/>
    </row>
    <row r="57" spans="1:31" s="1708" customFormat="1" ht="11.25" customHeight="1">
      <c r="A57" s="880"/>
      <c r="B57" s="1495"/>
      <c r="C57" s="1495"/>
      <c r="D57" s="275"/>
      <c r="K57" s="1034"/>
      <c r="L57" s="1495"/>
      <c r="M57" s="1495"/>
      <c r="N57" s="1034"/>
      <c r="O57" s="1034"/>
      <c r="P57" s="1034"/>
      <c r="Q57" s="1034"/>
      <c r="R57" s="1495"/>
      <c r="S57" s="1034"/>
      <c r="T57" s="1034"/>
      <c r="U57" s="471"/>
      <c r="V57" s="1034"/>
      <c r="W57" s="1034"/>
      <c r="X57" s="1034"/>
      <c r="Y57" s="1034"/>
      <c r="Z57" s="1034"/>
      <c r="AA57" s="1491"/>
      <c r="AB57" s="493"/>
      <c r="AC57" s="493"/>
      <c r="AD57" s="493"/>
      <c r="AE57" s="493"/>
    </row>
    <row r="58" spans="1:31" s="1708" customFormat="1" ht="11.25" customHeight="1">
      <c r="A58" s="880"/>
      <c r="B58" s="1495"/>
      <c r="C58" s="1495"/>
      <c r="D58" s="275"/>
      <c r="K58" s="1034"/>
      <c r="L58" s="1495"/>
      <c r="M58" s="1495"/>
      <c r="N58" s="1034"/>
      <c r="O58" s="1034"/>
      <c r="P58" s="1034"/>
      <c r="Q58" s="1034"/>
      <c r="R58" s="1495"/>
      <c r="S58" s="1034"/>
      <c r="T58" s="1034"/>
      <c r="U58" s="471"/>
      <c r="V58" s="1034"/>
      <c r="W58" s="1034"/>
      <c r="X58" s="1034"/>
      <c r="Y58" s="1034"/>
      <c r="Z58" s="1034"/>
      <c r="AA58" s="1491"/>
      <c r="AB58" s="493"/>
      <c r="AC58" s="493"/>
      <c r="AD58" s="493"/>
      <c r="AE58" s="493"/>
    </row>
    <row r="59" spans="1:31" s="1708" customFormat="1" ht="11.25" customHeight="1">
      <c r="A59" s="880"/>
      <c r="B59" s="1495"/>
      <c r="C59" s="1495"/>
      <c r="D59" s="275"/>
      <c r="K59" s="1034"/>
      <c r="L59" s="1495"/>
      <c r="M59" s="1495"/>
      <c r="N59" s="1034"/>
      <c r="O59" s="1034"/>
      <c r="P59" s="1034"/>
      <c r="Q59" s="1034"/>
      <c r="R59" s="1495"/>
      <c r="S59" s="1034"/>
      <c r="T59" s="1034"/>
      <c r="U59" s="471"/>
      <c r="V59" s="1034"/>
      <c r="W59" s="1034"/>
      <c r="X59" s="1034"/>
      <c r="Y59" s="1034"/>
      <c r="Z59" s="1034"/>
      <c r="AA59" s="1491"/>
      <c r="AB59" s="493"/>
      <c r="AC59" s="493"/>
      <c r="AD59" s="493"/>
      <c r="AE59" s="493"/>
    </row>
    <row r="60" spans="1:31" s="1708" customFormat="1" ht="11.25" customHeight="1">
      <c r="A60" s="880"/>
      <c r="B60" s="1495"/>
      <c r="C60" s="1495"/>
      <c r="D60" s="275"/>
      <c r="K60" s="1034"/>
      <c r="L60" s="1495"/>
      <c r="M60" s="1495"/>
      <c r="N60" s="1034"/>
      <c r="O60" s="1034"/>
      <c r="P60" s="1034"/>
      <c r="Q60" s="1034"/>
      <c r="R60" s="1495"/>
      <c r="S60" s="1034"/>
      <c r="T60" s="1034"/>
      <c r="U60" s="471"/>
      <c r="V60" s="1034"/>
      <c r="W60" s="1034"/>
      <c r="X60" s="1034"/>
      <c r="Y60" s="1034"/>
      <c r="Z60" s="1034"/>
      <c r="AA60" s="1491"/>
      <c r="AB60" s="493"/>
      <c r="AC60" s="493"/>
      <c r="AD60" s="493"/>
      <c r="AE60" s="493"/>
    </row>
    <row r="61" spans="1:31" s="1708" customFormat="1" ht="11.25" customHeight="1">
      <c r="A61" s="880"/>
      <c r="B61" s="1495"/>
      <c r="C61" s="1495"/>
      <c r="D61" s="275"/>
      <c r="K61" s="1034"/>
      <c r="L61" s="1495"/>
      <c r="M61" s="1495"/>
      <c r="N61" s="1034"/>
      <c r="O61" s="1034"/>
      <c r="P61" s="1034"/>
      <c r="Q61" s="1034"/>
      <c r="R61" s="1495"/>
      <c r="S61" s="1034"/>
      <c r="T61" s="1034"/>
      <c r="U61" s="471"/>
      <c r="V61" s="1034"/>
      <c r="W61" s="1034"/>
      <c r="X61" s="1034"/>
      <c r="Y61" s="1034"/>
      <c r="Z61" s="1034"/>
      <c r="AA61" s="1491"/>
      <c r="AB61" s="493"/>
      <c r="AC61" s="493"/>
      <c r="AD61" s="493"/>
      <c r="AE61" s="493"/>
    </row>
    <row r="62" spans="1:31" s="1708" customFormat="1" ht="11.25" customHeight="1">
      <c r="A62" s="880"/>
      <c r="B62" s="1495"/>
      <c r="C62" s="1495"/>
      <c r="D62" s="275"/>
      <c r="K62" s="1034"/>
      <c r="L62" s="1495"/>
      <c r="M62" s="1495"/>
      <c r="N62" s="1034"/>
      <c r="O62" s="1034"/>
      <c r="P62" s="1034"/>
      <c r="Q62" s="1034"/>
      <c r="R62" s="1495"/>
      <c r="S62" s="1034"/>
      <c r="T62" s="1034"/>
      <c r="U62" s="471"/>
      <c r="V62" s="1034"/>
      <c r="W62" s="1034"/>
      <c r="X62" s="1034"/>
      <c r="Y62" s="1034"/>
      <c r="Z62" s="1034"/>
      <c r="AA62" s="1491"/>
      <c r="AB62" s="493"/>
      <c r="AC62" s="493"/>
      <c r="AD62" s="493"/>
      <c r="AE62" s="493"/>
    </row>
    <row r="63" spans="1:31" s="1708" customFormat="1" ht="11.25" customHeight="1">
      <c r="A63" s="880"/>
      <c r="B63" s="1495"/>
      <c r="C63" s="1495"/>
      <c r="D63" s="275"/>
      <c r="K63" s="1034"/>
      <c r="L63" s="1495"/>
      <c r="M63" s="1495"/>
      <c r="N63" s="1034"/>
      <c r="O63" s="1034"/>
      <c r="P63" s="1034"/>
      <c r="Q63" s="1034"/>
      <c r="R63" s="1495"/>
      <c r="S63" s="1034"/>
      <c r="T63" s="1034"/>
      <c r="U63" s="471"/>
      <c r="V63" s="1034"/>
      <c r="W63" s="1034"/>
      <c r="X63" s="1034"/>
      <c r="Y63" s="1034"/>
      <c r="Z63" s="1034"/>
      <c r="AA63" s="1491"/>
      <c r="AB63" s="493"/>
      <c r="AC63" s="493"/>
      <c r="AD63" s="493"/>
      <c r="AE63" s="493"/>
    </row>
    <row r="64" spans="1:31" s="1708" customFormat="1" ht="11.25" customHeight="1">
      <c r="A64" s="880"/>
      <c r="B64" s="1495"/>
      <c r="C64" s="1495"/>
      <c r="D64" s="275"/>
      <c r="K64" s="1034"/>
      <c r="L64" s="1495"/>
      <c r="M64" s="1495"/>
      <c r="N64" s="1034"/>
      <c r="O64" s="1034"/>
      <c r="P64" s="1034"/>
      <c r="Q64" s="1034"/>
      <c r="R64" s="1495"/>
      <c r="S64" s="1034"/>
      <c r="T64" s="1034"/>
      <c r="U64" s="471"/>
      <c r="V64" s="1034"/>
      <c r="W64" s="1034"/>
      <c r="X64" s="1034"/>
      <c r="Y64" s="1034"/>
      <c r="Z64" s="1034"/>
      <c r="AA64" s="1491"/>
      <c r="AB64" s="493"/>
      <c r="AC64" s="493"/>
      <c r="AD64" s="493"/>
      <c r="AE64" s="493"/>
    </row>
    <row r="65" spans="1:31" s="1708" customFormat="1" ht="11.25" customHeight="1">
      <c r="A65" s="880"/>
      <c r="B65" s="1495"/>
      <c r="C65" s="1495"/>
      <c r="D65" s="275"/>
      <c r="K65" s="1034"/>
      <c r="L65" s="1495"/>
      <c r="M65" s="1495"/>
      <c r="N65" s="1034"/>
      <c r="O65" s="1034"/>
      <c r="P65" s="1034"/>
      <c r="Q65" s="1034"/>
      <c r="R65" s="1495"/>
      <c r="S65" s="1034"/>
      <c r="T65" s="1034"/>
      <c r="U65" s="471"/>
      <c r="V65" s="1034"/>
      <c r="W65" s="1034"/>
      <c r="X65" s="1034"/>
      <c r="Y65" s="1034"/>
      <c r="Z65" s="1034"/>
      <c r="AA65" s="1491"/>
      <c r="AB65" s="493"/>
      <c r="AC65" s="493"/>
      <c r="AD65" s="493"/>
      <c r="AE65" s="493"/>
    </row>
    <row r="66" spans="1:31" s="1708" customFormat="1" ht="11.25" customHeight="1">
      <c r="A66" s="880"/>
      <c r="B66" s="1495"/>
      <c r="C66" s="1495"/>
      <c r="D66" s="275"/>
      <c r="K66" s="1034"/>
      <c r="L66" s="1495"/>
      <c r="M66" s="1495"/>
      <c r="N66" s="1034"/>
      <c r="O66" s="1034"/>
      <c r="P66" s="1034"/>
      <c r="Q66" s="1034"/>
      <c r="R66" s="1495"/>
      <c r="S66" s="1034"/>
      <c r="T66" s="1034"/>
      <c r="U66" s="471"/>
      <c r="V66" s="1034"/>
      <c r="W66" s="1034"/>
      <c r="X66" s="1034"/>
      <c r="Y66" s="1034"/>
      <c r="Z66" s="1034"/>
      <c r="AA66" s="1491"/>
      <c r="AB66" s="493"/>
      <c r="AC66" s="493"/>
      <c r="AD66" s="493"/>
      <c r="AE66" s="493"/>
    </row>
    <row r="67" spans="1:31" s="1708" customFormat="1" ht="11.25" customHeight="1">
      <c r="A67" s="880"/>
      <c r="B67" s="1495"/>
      <c r="C67" s="1495"/>
      <c r="D67" s="275"/>
      <c r="K67" s="1034"/>
      <c r="L67" s="1495"/>
      <c r="M67" s="1495"/>
      <c r="N67" s="1034"/>
      <c r="O67" s="1034"/>
      <c r="P67" s="1034"/>
      <c r="Q67" s="1034"/>
      <c r="R67" s="1495"/>
      <c r="S67" s="1034"/>
      <c r="T67" s="1034"/>
      <c r="U67" s="471"/>
      <c r="V67" s="1034"/>
      <c r="W67" s="1034"/>
      <c r="X67" s="1034"/>
      <c r="Y67" s="1034"/>
      <c r="Z67" s="1034"/>
      <c r="AA67" s="1491"/>
      <c r="AB67" s="493"/>
      <c r="AC67" s="493"/>
      <c r="AD67" s="493"/>
      <c r="AE67" s="493"/>
    </row>
    <row r="68" spans="1:31" s="1708" customFormat="1" ht="11.25" customHeight="1">
      <c r="A68" s="880"/>
      <c r="B68" s="1495"/>
      <c r="C68" s="1495"/>
      <c r="D68" s="275"/>
      <c r="K68" s="1034"/>
      <c r="L68" s="1495"/>
      <c r="M68" s="1495"/>
      <c r="N68" s="1034"/>
      <c r="O68" s="1034"/>
      <c r="P68" s="1034"/>
      <c r="Q68" s="1034"/>
      <c r="R68" s="1495"/>
      <c r="S68" s="1034"/>
      <c r="T68" s="1034"/>
      <c r="U68" s="471"/>
      <c r="V68" s="1034"/>
      <c r="W68" s="1034"/>
      <c r="X68" s="1034"/>
      <c r="Y68" s="1034"/>
      <c r="Z68" s="1034"/>
      <c r="AA68" s="1491"/>
      <c r="AB68" s="493"/>
      <c r="AC68" s="493"/>
      <c r="AD68" s="493"/>
      <c r="AE68" s="493"/>
    </row>
    <row r="69" spans="1:31" s="1708" customFormat="1" ht="11.25" customHeight="1">
      <c r="A69" s="880"/>
      <c r="B69" s="1495"/>
      <c r="C69" s="1495"/>
      <c r="D69" s="275"/>
      <c r="K69" s="1034"/>
      <c r="L69" s="1495"/>
      <c r="M69" s="1495"/>
      <c r="N69" s="1034"/>
      <c r="O69" s="1034"/>
      <c r="P69" s="1034"/>
      <c r="Q69" s="1034"/>
      <c r="R69" s="1495"/>
      <c r="S69" s="1034"/>
      <c r="T69" s="1034"/>
      <c r="U69" s="471"/>
      <c r="V69" s="1034"/>
      <c r="W69" s="1034"/>
      <c r="X69" s="1034"/>
      <c r="Y69" s="1034"/>
      <c r="Z69" s="1034"/>
      <c r="AA69" s="1491"/>
      <c r="AB69" s="493"/>
      <c r="AC69" s="493"/>
      <c r="AD69" s="493"/>
      <c r="AE69" s="493"/>
    </row>
    <row r="70" spans="1:31" s="1708" customFormat="1" ht="11.25" customHeight="1">
      <c r="A70" s="880"/>
      <c r="B70" s="1495"/>
      <c r="C70" s="1495"/>
      <c r="D70" s="275"/>
      <c r="K70" s="1034"/>
      <c r="L70" s="1495"/>
      <c r="M70" s="1495"/>
      <c r="N70" s="1034"/>
      <c r="O70" s="1034"/>
      <c r="P70" s="1034"/>
      <c r="Q70" s="1034"/>
      <c r="R70" s="1495"/>
      <c r="S70" s="1034"/>
      <c r="T70" s="1034"/>
      <c r="U70" s="471"/>
      <c r="V70" s="1034"/>
      <c r="W70" s="1034"/>
      <c r="X70" s="1034"/>
      <c r="Y70" s="1034"/>
      <c r="Z70" s="1034"/>
      <c r="AA70" s="1491"/>
      <c r="AB70" s="493"/>
      <c r="AC70" s="493"/>
      <c r="AD70" s="493"/>
      <c r="AE70" s="493"/>
    </row>
    <row r="71" spans="1:31" s="1708" customFormat="1" ht="11.25" customHeight="1">
      <c r="A71" s="880"/>
      <c r="B71" s="1495"/>
      <c r="C71" s="1495"/>
      <c r="D71" s="275"/>
      <c r="K71" s="1034"/>
      <c r="L71" s="1495"/>
      <c r="M71" s="1495"/>
      <c r="N71" s="1034"/>
      <c r="O71" s="1034"/>
      <c r="P71" s="1034"/>
      <c r="Q71" s="1034"/>
      <c r="R71" s="1495"/>
      <c r="S71" s="1034"/>
      <c r="T71" s="1034"/>
      <c r="U71" s="471"/>
      <c r="V71" s="1034"/>
      <c r="W71" s="1034"/>
      <c r="X71" s="1034"/>
      <c r="Y71" s="1034"/>
      <c r="Z71" s="1034"/>
      <c r="AA71" s="1491"/>
      <c r="AB71" s="493"/>
      <c r="AC71" s="493"/>
      <c r="AD71" s="493"/>
      <c r="AE71" s="493"/>
    </row>
    <row r="72" spans="1:31" s="1708" customFormat="1" ht="11.25" customHeight="1">
      <c r="A72" s="880"/>
      <c r="B72" s="1495"/>
      <c r="C72" s="1495"/>
      <c r="D72" s="275"/>
      <c r="K72" s="1034"/>
      <c r="L72" s="1495"/>
      <c r="M72" s="1495"/>
      <c r="N72" s="1034"/>
      <c r="O72" s="1034"/>
      <c r="P72" s="1034"/>
      <c r="Q72" s="1034"/>
      <c r="R72" s="1495"/>
      <c r="S72" s="1034"/>
      <c r="T72" s="1034"/>
      <c r="U72" s="471"/>
      <c r="V72" s="1034"/>
      <c r="W72" s="1034"/>
      <c r="X72" s="1034"/>
      <c r="Y72" s="1034"/>
      <c r="Z72" s="1034"/>
      <c r="AA72" s="1491"/>
      <c r="AB72" s="493"/>
      <c r="AC72" s="493"/>
      <c r="AD72" s="493"/>
      <c r="AE72" s="493"/>
    </row>
    <row r="73" spans="1:31" s="1708" customFormat="1" ht="11.25" customHeight="1">
      <c r="A73" s="880"/>
      <c r="B73" s="1495"/>
      <c r="C73" s="1495"/>
      <c r="D73" s="275"/>
      <c r="K73" s="1034"/>
      <c r="L73" s="1495"/>
      <c r="M73" s="1495"/>
      <c r="N73" s="1034"/>
      <c r="O73" s="1034"/>
      <c r="P73" s="1034"/>
      <c r="Q73" s="1034"/>
      <c r="R73" s="1495"/>
      <c r="S73" s="1034"/>
      <c r="T73" s="1034"/>
      <c r="U73" s="471"/>
      <c r="V73" s="1034"/>
      <c r="W73" s="1034"/>
      <c r="X73" s="1034"/>
      <c r="Y73" s="1034"/>
      <c r="Z73" s="1034"/>
      <c r="AA73" s="1491"/>
      <c r="AB73" s="493"/>
      <c r="AC73" s="493"/>
      <c r="AD73" s="493"/>
      <c r="AE73" s="493"/>
    </row>
    <row r="74" spans="1:31" s="1708" customFormat="1" ht="11.25" customHeight="1">
      <c r="A74" s="880"/>
      <c r="B74" s="1495"/>
      <c r="C74" s="1495"/>
      <c r="D74" s="275"/>
      <c r="K74" s="1034"/>
      <c r="L74" s="1495"/>
      <c r="M74" s="1495"/>
      <c r="N74" s="1034"/>
      <c r="O74" s="1034"/>
      <c r="P74" s="1034"/>
      <c r="Q74" s="1034"/>
      <c r="R74" s="1495"/>
      <c r="S74" s="1034"/>
      <c r="T74" s="1034"/>
      <c r="U74" s="471"/>
      <c r="V74" s="1034"/>
      <c r="W74" s="1034"/>
      <c r="X74" s="1034"/>
      <c r="Y74" s="1034"/>
      <c r="Z74" s="1034"/>
      <c r="AA74" s="1491"/>
      <c r="AB74" s="493"/>
      <c r="AC74" s="493"/>
      <c r="AD74" s="493"/>
      <c r="AE74" s="493"/>
    </row>
    <row r="75" spans="1:31" s="1708" customFormat="1" ht="11.25" customHeight="1">
      <c r="A75" s="880"/>
      <c r="B75" s="1495"/>
      <c r="C75" s="1495"/>
      <c r="D75" s="275"/>
      <c r="K75" s="1034"/>
      <c r="L75" s="1495"/>
      <c r="M75" s="1495"/>
      <c r="N75" s="1034"/>
      <c r="O75" s="1034"/>
      <c r="P75" s="1034"/>
      <c r="Q75" s="1034"/>
      <c r="R75" s="1495"/>
      <c r="S75" s="1034"/>
      <c r="T75" s="1034"/>
      <c r="U75" s="471"/>
      <c r="V75" s="1034"/>
      <c r="W75" s="1034"/>
      <c r="X75" s="1034"/>
      <c r="Y75" s="1034"/>
      <c r="Z75" s="1034"/>
      <c r="AA75" s="1491"/>
      <c r="AB75" s="493"/>
      <c r="AC75" s="493"/>
      <c r="AD75" s="493"/>
      <c r="AE75" s="493"/>
    </row>
    <row r="76" spans="1:31" s="1708" customFormat="1" ht="11.25" customHeight="1">
      <c r="A76" s="880"/>
      <c r="B76" s="1495"/>
      <c r="C76" s="1495"/>
      <c r="D76" s="275"/>
      <c r="K76" s="1034"/>
      <c r="L76" s="1495"/>
      <c r="M76" s="1495"/>
      <c r="N76" s="1034"/>
      <c r="O76" s="1034"/>
      <c r="P76" s="1034"/>
      <c r="Q76" s="1034"/>
      <c r="R76" s="1495"/>
      <c r="S76" s="1034"/>
      <c r="T76" s="1034"/>
      <c r="U76" s="471"/>
      <c r="V76" s="1034"/>
      <c r="W76" s="1034"/>
      <c r="X76" s="1034"/>
      <c r="Y76" s="1034"/>
      <c r="Z76" s="1034"/>
      <c r="AA76" s="1491"/>
      <c r="AB76" s="493"/>
      <c r="AC76" s="493"/>
      <c r="AD76" s="493"/>
      <c r="AE76" s="493"/>
    </row>
    <row r="77" spans="1:31" s="1708" customFormat="1" ht="11.25" customHeight="1">
      <c r="A77" s="880"/>
      <c r="B77" s="1495"/>
      <c r="C77" s="1495"/>
      <c r="D77" s="275"/>
      <c r="K77" s="1034"/>
      <c r="L77" s="1495"/>
      <c r="M77" s="1495"/>
      <c r="N77" s="1034"/>
      <c r="O77" s="1034"/>
      <c r="P77" s="1034"/>
      <c r="Q77" s="1034"/>
      <c r="R77" s="1495"/>
      <c r="S77" s="1034"/>
      <c r="T77" s="1034"/>
      <c r="U77" s="471"/>
      <c r="V77" s="1034"/>
      <c r="W77" s="1034"/>
      <c r="X77" s="1034"/>
      <c r="Y77" s="1034"/>
      <c r="Z77" s="1034"/>
      <c r="AA77" s="1491"/>
      <c r="AB77" s="493"/>
      <c r="AC77" s="493"/>
      <c r="AD77" s="493"/>
      <c r="AE77" s="493"/>
    </row>
    <row r="78" spans="1:31" s="1708" customFormat="1" ht="11.25" customHeight="1">
      <c r="A78" s="880"/>
      <c r="B78" s="1495"/>
      <c r="C78" s="1495"/>
      <c r="D78" s="275"/>
      <c r="K78" s="1034"/>
      <c r="L78" s="1495"/>
      <c r="M78" s="1495"/>
      <c r="N78" s="1034"/>
      <c r="O78" s="1034"/>
      <c r="P78" s="1034"/>
      <c r="Q78" s="1034"/>
      <c r="R78" s="1495"/>
      <c r="S78" s="1034"/>
      <c r="T78" s="1034"/>
      <c r="U78" s="471"/>
      <c r="V78" s="1034"/>
      <c r="W78" s="1034"/>
      <c r="X78" s="1034"/>
      <c r="Y78" s="1034"/>
      <c r="Z78" s="1034"/>
      <c r="AA78" s="1491"/>
      <c r="AB78" s="493"/>
      <c r="AC78" s="493"/>
      <c r="AD78" s="493"/>
      <c r="AE78" s="493"/>
    </row>
    <row r="79" spans="1:31" s="1708" customFormat="1" ht="11.25" customHeight="1">
      <c r="A79" s="880"/>
      <c r="B79" s="1495"/>
      <c r="C79" s="1495"/>
      <c r="D79" s="275"/>
      <c r="K79" s="1034"/>
      <c r="L79" s="1495"/>
      <c r="M79" s="1495"/>
      <c r="N79" s="1034"/>
      <c r="O79" s="1034"/>
      <c r="P79" s="1034"/>
      <c r="Q79" s="1034"/>
      <c r="R79" s="1495"/>
      <c r="S79" s="1034"/>
      <c r="T79" s="1034"/>
      <c r="U79" s="471"/>
      <c r="V79" s="1034"/>
      <c r="W79" s="1034"/>
      <c r="X79" s="1034"/>
      <c r="Y79" s="1034"/>
      <c r="Z79" s="1034"/>
      <c r="AA79" s="1491"/>
      <c r="AB79" s="493"/>
      <c r="AC79" s="493"/>
      <c r="AD79" s="493"/>
      <c r="AE79" s="493"/>
    </row>
    <row r="80" spans="1:31" s="1708" customFormat="1" ht="11.25" customHeight="1">
      <c r="A80" s="880"/>
      <c r="B80" s="1495"/>
      <c r="C80" s="1495"/>
      <c r="D80" s="275"/>
      <c r="K80" s="1034"/>
      <c r="L80" s="1495"/>
      <c r="M80" s="1495"/>
      <c r="N80" s="1034"/>
      <c r="O80" s="1034"/>
      <c r="P80" s="1034"/>
      <c r="Q80" s="1034"/>
      <c r="R80" s="1495"/>
      <c r="S80" s="1034"/>
      <c r="T80" s="1034"/>
      <c r="U80" s="471"/>
      <c r="V80" s="1034"/>
      <c r="W80" s="1034"/>
      <c r="X80" s="1034"/>
      <c r="Y80" s="1034"/>
      <c r="Z80" s="1034"/>
      <c r="AA80" s="1491"/>
      <c r="AB80" s="493"/>
      <c r="AC80" s="493"/>
      <c r="AD80" s="493"/>
      <c r="AE80" s="493"/>
    </row>
    <row r="81" spans="1:31" s="1708" customFormat="1" ht="11.25" customHeight="1">
      <c r="A81" s="880"/>
      <c r="B81" s="1495"/>
      <c r="C81" s="1495"/>
      <c r="D81" s="275"/>
      <c r="K81" s="1034"/>
      <c r="L81" s="1495"/>
      <c r="M81" s="1495"/>
      <c r="N81" s="1034"/>
      <c r="O81" s="1034"/>
      <c r="P81" s="1034"/>
      <c r="Q81" s="1034"/>
      <c r="R81" s="1495"/>
      <c r="S81" s="1034"/>
      <c r="T81" s="1034"/>
      <c r="U81" s="471"/>
      <c r="V81" s="1034"/>
      <c r="W81" s="1034"/>
      <c r="X81" s="1034"/>
      <c r="Y81" s="1034"/>
      <c r="Z81" s="1034"/>
      <c r="AA81" s="1491"/>
      <c r="AB81" s="493"/>
      <c r="AC81" s="493"/>
      <c r="AD81" s="493"/>
      <c r="AE81" s="493"/>
    </row>
    <row r="82" spans="1:31" s="1708" customFormat="1" ht="11.25" customHeight="1">
      <c r="A82" s="880"/>
      <c r="B82" s="1495"/>
      <c r="C82" s="1495"/>
      <c r="D82" s="275"/>
      <c r="K82" s="1034"/>
      <c r="L82" s="1495"/>
      <c r="M82" s="1495"/>
      <c r="N82" s="1034"/>
      <c r="O82" s="1034"/>
      <c r="P82" s="1034"/>
      <c r="Q82" s="1034"/>
      <c r="R82" s="1495"/>
      <c r="S82" s="1034"/>
      <c r="T82" s="1034"/>
      <c r="U82" s="471"/>
      <c r="V82" s="1034"/>
      <c r="W82" s="1034"/>
      <c r="X82" s="1034"/>
      <c r="Y82" s="1034"/>
      <c r="Z82" s="1034"/>
      <c r="AA82" s="1491"/>
      <c r="AB82" s="493"/>
      <c r="AC82" s="493"/>
      <c r="AD82" s="493"/>
      <c r="AE82" s="493"/>
    </row>
    <row r="83" spans="1:31" s="1708" customFormat="1" ht="11.25" customHeight="1">
      <c r="A83" s="880"/>
      <c r="B83" s="1495"/>
      <c r="C83" s="1495"/>
      <c r="D83" s="275"/>
      <c r="K83" s="1034"/>
      <c r="L83" s="1495"/>
      <c r="M83" s="1495"/>
      <c r="N83" s="1034"/>
      <c r="O83" s="1034"/>
      <c r="P83" s="1034"/>
      <c r="Q83" s="1034"/>
      <c r="R83" s="1495"/>
      <c r="S83" s="1034"/>
      <c r="T83" s="1034"/>
      <c r="U83" s="471"/>
      <c r="V83" s="1034"/>
      <c r="W83" s="1034"/>
      <c r="X83" s="1034"/>
      <c r="Y83" s="1034"/>
      <c r="Z83" s="1034"/>
      <c r="AA83" s="1491"/>
      <c r="AB83" s="493"/>
      <c r="AC83" s="493"/>
      <c r="AD83" s="493"/>
      <c r="AE83" s="493"/>
    </row>
    <row r="84" spans="1:31" s="1708" customFormat="1" ht="11.25" customHeight="1">
      <c r="A84" s="880"/>
      <c r="B84" s="1495"/>
      <c r="C84" s="1495"/>
      <c r="D84" s="275"/>
      <c r="K84" s="1034"/>
      <c r="L84" s="1495"/>
      <c r="M84" s="1495"/>
      <c r="N84" s="1034"/>
      <c r="O84" s="1034"/>
      <c r="P84" s="1034"/>
      <c r="Q84" s="1034"/>
      <c r="R84" s="1495"/>
      <c r="S84" s="1034"/>
      <c r="T84" s="1034"/>
      <c r="U84" s="471"/>
      <c r="V84" s="1034"/>
      <c r="W84" s="1034"/>
      <c r="X84" s="1034"/>
      <c r="Y84" s="1034"/>
      <c r="Z84" s="1034"/>
      <c r="AA84" s="1491"/>
      <c r="AB84" s="493"/>
      <c r="AC84" s="493"/>
      <c r="AD84" s="493"/>
      <c r="AE84" s="493"/>
    </row>
    <row r="85" spans="1:31" s="1708" customFormat="1" ht="11.25" customHeight="1">
      <c r="A85" s="880"/>
      <c r="B85" s="1495"/>
      <c r="C85" s="1495"/>
      <c r="D85" s="275"/>
      <c r="K85" s="1034"/>
      <c r="L85" s="1495"/>
      <c r="M85" s="1495"/>
      <c r="N85" s="1034"/>
      <c r="O85" s="1034"/>
      <c r="P85" s="1034"/>
      <c r="Q85" s="1034"/>
      <c r="R85" s="1495"/>
      <c r="S85" s="1034"/>
      <c r="T85" s="1034"/>
      <c r="U85" s="471"/>
      <c r="V85" s="1034"/>
      <c r="W85" s="1034"/>
      <c r="X85" s="1034"/>
      <c r="Y85" s="1034"/>
      <c r="Z85" s="1034"/>
      <c r="AA85" s="1491"/>
      <c r="AB85" s="493"/>
      <c r="AC85" s="493"/>
      <c r="AD85" s="493"/>
      <c r="AE85" s="493"/>
    </row>
    <row r="86" spans="1:31" s="1708" customFormat="1" ht="11.25" customHeight="1">
      <c r="A86" s="880"/>
      <c r="B86" s="1495"/>
      <c r="C86" s="1495"/>
      <c r="D86" s="275"/>
      <c r="K86" s="1034"/>
      <c r="L86" s="1495"/>
      <c r="M86" s="1495"/>
      <c r="N86" s="1034"/>
      <c r="O86" s="1034"/>
      <c r="P86" s="1034"/>
      <c r="Q86" s="1034"/>
      <c r="R86" s="1495"/>
      <c r="S86" s="1034"/>
      <c r="T86" s="1034"/>
      <c r="U86" s="471"/>
      <c r="V86" s="1034"/>
      <c r="W86" s="1034"/>
      <c r="X86" s="1034"/>
      <c r="Y86" s="1034"/>
      <c r="Z86" s="1034"/>
      <c r="AA86" s="1491"/>
      <c r="AB86" s="493"/>
      <c r="AC86" s="493"/>
      <c r="AD86" s="493"/>
      <c r="AE86" s="493"/>
    </row>
    <row r="87" spans="1:31" s="1708" customFormat="1" ht="11.25" customHeight="1">
      <c r="A87" s="880"/>
      <c r="B87" s="1495"/>
      <c r="C87" s="1495"/>
      <c r="D87" s="275"/>
      <c r="K87" s="1034"/>
      <c r="L87" s="1495"/>
      <c r="M87" s="1495"/>
      <c r="N87" s="1034"/>
      <c r="O87" s="1034"/>
      <c r="P87" s="1034"/>
      <c r="Q87" s="1034"/>
      <c r="R87" s="1495"/>
      <c r="S87" s="1034"/>
      <c r="T87" s="1034"/>
      <c r="U87" s="471"/>
      <c r="V87" s="1034"/>
      <c r="W87" s="1034"/>
      <c r="X87" s="1034"/>
      <c r="Y87" s="1034"/>
      <c r="Z87" s="1034"/>
      <c r="AA87" s="1491"/>
      <c r="AB87" s="493"/>
      <c r="AC87" s="493"/>
      <c r="AD87" s="493"/>
      <c r="AE87" s="493"/>
    </row>
    <row r="88" spans="1:31" s="1708" customFormat="1" ht="11.25" customHeight="1">
      <c r="A88" s="880"/>
      <c r="B88" s="1495"/>
      <c r="C88" s="1495"/>
      <c r="D88" s="275"/>
      <c r="K88" s="1034"/>
      <c r="L88" s="1495"/>
      <c r="M88" s="1495"/>
      <c r="N88" s="1034"/>
      <c r="O88" s="1034"/>
      <c r="P88" s="1034"/>
      <c r="Q88" s="1034"/>
      <c r="R88" s="1495"/>
      <c r="S88" s="1034"/>
      <c r="T88" s="1034"/>
      <c r="U88" s="471"/>
      <c r="V88" s="1034"/>
      <c r="W88" s="1034"/>
      <c r="X88" s="1034"/>
      <c r="Y88" s="1034"/>
      <c r="Z88" s="1034"/>
      <c r="AA88" s="1491"/>
      <c r="AB88" s="493"/>
      <c r="AC88" s="493"/>
      <c r="AD88" s="493"/>
      <c r="AE88" s="493"/>
    </row>
    <row r="89" spans="1:31" s="1708" customFormat="1" ht="11.25" customHeight="1">
      <c r="A89" s="880"/>
      <c r="B89" s="1495"/>
      <c r="C89" s="1495"/>
      <c r="D89" s="275"/>
      <c r="K89" s="1034"/>
      <c r="L89" s="1495"/>
      <c r="M89" s="1495"/>
      <c r="N89" s="1034"/>
      <c r="O89" s="1034"/>
      <c r="P89" s="1034"/>
      <c r="Q89" s="1034"/>
      <c r="R89" s="1495"/>
      <c r="S89" s="1034"/>
      <c r="T89" s="1034"/>
      <c r="U89" s="471"/>
      <c r="V89" s="1034"/>
      <c r="W89" s="1034"/>
      <c r="X89" s="1034"/>
      <c r="Y89" s="1034"/>
      <c r="Z89" s="1034"/>
      <c r="AA89" s="1491"/>
      <c r="AB89" s="493"/>
      <c r="AC89" s="493"/>
      <c r="AD89" s="493"/>
      <c r="AE89" s="493"/>
    </row>
    <row r="90" spans="1:31" s="1708" customFormat="1" ht="11.25" customHeight="1">
      <c r="A90" s="880"/>
      <c r="B90" s="1495"/>
      <c r="C90" s="1495"/>
      <c r="D90" s="275"/>
      <c r="K90" s="1034"/>
      <c r="L90" s="1495"/>
      <c r="M90" s="1495"/>
      <c r="N90" s="1034"/>
      <c r="O90" s="1034"/>
      <c r="P90" s="1034"/>
      <c r="Q90" s="1034"/>
      <c r="R90" s="1495"/>
      <c r="S90" s="1034"/>
      <c r="T90" s="1034"/>
      <c r="U90" s="471"/>
      <c r="V90" s="1034"/>
      <c r="W90" s="1034"/>
      <c r="X90" s="1034"/>
      <c r="Y90" s="1034"/>
      <c r="Z90" s="1034"/>
      <c r="AA90" s="1491"/>
      <c r="AB90" s="493"/>
      <c r="AC90" s="493"/>
      <c r="AD90" s="493"/>
      <c r="AE90" s="493"/>
    </row>
    <row r="91" spans="1:31" s="1708" customFormat="1" ht="11.25" customHeight="1">
      <c r="A91" s="880"/>
      <c r="B91" s="1495"/>
      <c r="C91" s="1495"/>
      <c r="D91" s="275"/>
      <c r="K91" s="1034"/>
      <c r="L91" s="1495"/>
      <c r="M91" s="1495"/>
      <c r="N91" s="1034"/>
      <c r="O91" s="1034"/>
      <c r="P91" s="1034"/>
      <c r="Q91" s="1034"/>
      <c r="R91" s="1495"/>
      <c r="S91" s="1034"/>
      <c r="T91" s="1034"/>
      <c r="U91" s="471"/>
      <c r="V91" s="1034"/>
      <c r="W91" s="1034"/>
      <c r="X91" s="1034"/>
      <c r="Y91" s="1034"/>
      <c r="Z91" s="1034"/>
      <c r="AA91" s="1491"/>
      <c r="AB91" s="493"/>
      <c r="AC91" s="493"/>
      <c r="AD91" s="493"/>
      <c r="AE91" s="493"/>
    </row>
    <row r="92" spans="1:31" s="1708" customFormat="1" ht="11.25" customHeight="1">
      <c r="A92" s="880"/>
      <c r="B92" s="1495"/>
      <c r="C92" s="1495"/>
      <c r="D92" s="275"/>
      <c r="K92" s="1034"/>
      <c r="L92" s="1495"/>
      <c r="M92" s="1495"/>
      <c r="N92" s="1034"/>
      <c r="O92" s="1034"/>
      <c r="P92" s="1034"/>
      <c r="Q92" s="1034"/>
      <c r="R92" s="1495"/>
      <c r="S92" s="1034"/>
      <c r="T92" s="1034"/>
      <c r="U92" s="471"/>
      <c r="V92" s="1034"/>
      <c r="W92" s="1034"/>
      <c r="X92" s="1034"/>
      <c r="Y92" s="1034"/>
      <c r="Z92" s="1034"/>
      <c r="AA92" s="1491"/>
      <c r="AB92" s="493"/>
      <c r="AC92" s="493"/>
      <c r="AD92" s="493"/>
      <c r="AE92" s="493"/>
    </row>
    <row r="93" spans="1:31" s="1708" customFormat="1" ht="11.25" customHeight="1">
      <c r="A93" s="880"/>
      <c r="B93" s="1495"/>
      <c r="C93" s="1495"/>
      <c r="D93" s="275"/>
      <c r="K93" s="1034"/>
      <c r="L93" s="1495"/>
      <c r="M93" s="1495"/>
      <c r="N93" s="1034"/>
      <c r="O93" s="1034"/>
      <c r="P93" s="1034"/>
      <c r="Q93" s="1034"/>
      <c r="R93" s="1495"/>
      <c r="S93" s="1034"/>
      <c r="T93" s="1034"/>
      <c r="U93" s="471"/>
      <c r="V93" s="1034"/>
      <c r="W93" s="1034"/>
      <c r="X93" s="1034"/>
      <c r="Y93" s="1034"/>
      <c r="Z93" s="1034"/>
      <c r="AA93" s="1491"/>
      <c r="AB93" s="493"/>
      <c r="AC93" s="493"/>
      <c r="AD93" s="493"/>
      <c r="AE93" s="493"/>
    </row>
    <row r="94" spans="1:31" s="1708" customFormat="1" ht="11.25" customHeight="1">
      <c r="A94" s="880"/>
      <c r="B94" s="1495"/>
      <c r="C94" s="1495"/>
      <c r="D94" s="275"/>
      <c r="K94" s="1034"/>
      <c r="L94" s="1495"/>
      <c r="M94" s="1495"/>
      <c r="N94" s="1034"/>
      <c r="O94" s="1034"/>
      <c r="P94" s="1034"/>
      <c r="Q94" s="1034"/>
      <c r="R94" s="1495"/>
      <c r="S94" s="1034"/>
      <c r="T94" s="1034"/>
      <c r="U94" s="471"/>
      <c r="V94" s="1034"/>
      <c r="W94" s="1034"/>
      <c r="X94" s="1034"/>
      <c r="Y94" s="1034"/>
      <c r="Z94" s="1034"/>
      <c r="AA94" s="1491"/>
      <c r="AB94" s="493"/>
      <c r="AC94" s="493"/>
      <c r="AD94" s="493"/>
      <c r="AE94" s="493"/>
    </row>
    <row r="95" spans="1:31" s="1708" customFormat="1" ht="11.25" customHeight="1">
      <c r="A95" s="880"/>
      <c r="B95" s="1495"/>
      <c r="C95" s="1495"/>
      <c r="D95" s="275"/>
      <c r="K95" s="1034"/>
      <c r="L95" s="1495"/>
      <c r="M95" s="1495"/>
      <c r="N95" s="1034"/>
      <c r="O95" s="1034"/>
      <c r="P95" s="1034"/>
      <c r="Q95" s="1034"/>
      <c r="R95" s="1495"/>
      <c r="S95" s="1034"/>
      <c r="T95" s="1034"/>
      <c r="U95" s="471"/>
      <c r="V95" s="1034"/>
      <c r="W95" s="1034"/>
      <c r="X95" s="1034"/>
      <c r="Y95" s="1034"/>
      <c r="Z95" s="1034"/>
      <c r="AA95" s="1491"/>
      <c r="AB95" s="493"/>
      <c r="AC95" s="493"/>
      <c r="AD95" s="493"/>
      <c r="AE95" s="493"/>
    </row>
    <row r="96" spans="1:31" s="1708" customFormat="1" ht="11.25" customHeight="1">
      <c r="A96" s="880"/>
      <c r="B96" s="1495"/>
      <c r="C96" s="1495"/>
      <c r="D96" s="275"/>
      <c r="K96" s="1034"/>
      <c r="L96" s="1495"/>
      <c r="M96" s="1495"/>
      <c r="N96" s="1034"/>
      <c r="O96" s="1034"/>
      <c r="P96" s="1034"/>
      <c r="Q96" s="1034"/>
      <c r="R96" s="1495"/>
      <c r="S96" s="1034"/>
      <c r="T96" s="1034"/>
      <c r="U96" s="471"/>
      <c r="V96" s="1034"/>
      <c r="W96" s="1034"/>
      <c r="X96" s="1034"/>
      <c r="Y96" s="1034"/>
      <c r="Z96" s="1034"/>
      <c r="AA96" s="1491"/>
      <c r="AB96" s="493"/>
      <c r="AC96" s="493"/>
      <c r="AD96" s="493"/>
      <c r="AE96" s="493"/>
    </row>
    <row r="97" spans="1:31" s="1708" customFormat="1" ht="11.25" customHeight="1">
      <c r="A97" s="880"/>
      <c r="B97" s="1495"/>
      <c r="C97" s="1495"/>
      <c r="D97" s="275"/>
      <c r="K97" s="1034"/>
      <c r="L97" s="1495"/>
      <c r="M97" s="1495"/>
      <c r="N97" s="1034"/>
      <c r="O97" s="1034"/>
      <c r="P97" s="1034"/>
      <c r="Q97" s="1034"/>
      <c r="R97" s="1495"/>
      <c r="S97" s="1034"/>
      <c r="T97" s="1034"/>
      <c r="U97" s="471"/>
      <c r="V97" s="1034"/>
      <c r="W97" s="1034"/>
      <c r="X97" s="1034"/>
      <c r="Y97" s="1034"/>
      <c r="Z97" s="1034"/>
      <c r="AA97" s="1491"/>
      <c r="AB97" s="493"/>
      <c r="AC97" s="493"/>
      <c r="AD97" s="493"/>
      <c r="AE97" s="493"/>
    </row>
    <row r="98" spans="1:31" s="1708" customFormat="1" ht="11.25" customHeight="1">
      <c r="A98" s="880"/>
      <c r="B98" s="1495"/>
      <c r="C98" s="1495"/>
      <c r="D98" s="275"/>
      <c r="K98" s="1034"/>
      <c r="L98" s="1495"/>
      <c r="M98" s="1495"/>
      <c r="N98" s="1034"/>
      <c r="O98" s="1034"/>
      <c r="P98" s="1034"/>
      <c r="Q98" s="1034"/>
      <c r="R98" s="1495"/>
      <c r="S98" s="1034"/>
      <c r="T98" s="1034"/>
      <c r="U98" s="471"/>
      <c r="V98" s="1034"/>
      <c r="W98" s="1034"/>
      <c r="X98" s="1034"/>
      <c r="Y98" s="1034"/>
      <c r="Z98" s="1034"/>
      <c r="AA98" s="1491"/>
      <c r="AB98" s="493"/>
      <c r="AC98" s="493"/>
      <c r="AD98" s="493"/>
      <c r="AE98" s="493"/>
    </row>
    <row r="99" spans="1:31" s="1708" customFormat="1" ht="11.25" customHeight="1">
      <c r="A99" s="880"/>
      <c r="B99" s="1495"/>
      <c r="C99" s="1495"/>
      <c r="D99" s="275"/>
      <c r="K99" s="1034"/>
      <c r="L99" s="1495"/>
      <c r="M99" s="1495"/>
      <c r="N99" s="1034"/>
      <c r="O99" s="1034"/>
      <c r="P99" s="1034"/>
      <c r="Q99" s="1034"/>
      <c r="R99" s="1495"/>
      <c r="S99" s="1034"/>
      <c r="T99" s="1034"/>
      <c r="U99" s="471"/>
      <c r="V99" s="1034"/>
      <c r="W99" s="1034"/>
      <c r="X99" s="1034"/>
      <c r="Y99" s="1034"/>
      <c r="Z99" s="1034"/>
      <c r="AA99" s="1491"/>
      <c r="AB99" s="493"/>
      <c r="AC99" s="493"/>
      <c r="AD99" s="493"/>
      <c r="AE99" s="493"/>
    </row>
    <row r="100" spans="1:31" s="1708" customFormat="1" ht="11.25" customHeight="1">
      <c r="A100" s="880"/>
      <c r="B100" s="1495"/>
      <c r="C100" s="1495"/>
      <c r="D100" s="275"/>
      <c r="K100" s="1034"/>
      <c r="L100" s="1495"/>
      <c r="M100" s="1495"/>
      <c r="N100" s="1034"/>
      <c r="O100" s="1034"/>
      <c r="P100" s="1034"/>
      <c r="Q100" s="1034"/>
      <c r="R100" s="1495"/>
      <c r="S100" s="1034"/>
      <c r="T100" s="1034"/>
      <c r="U100" s="471"/>
      <c r="V100" s="1034"/>
      <c r="W100" s="1034"/>
      <c r="X100" s="1034"/>
      <c r="Y100" s="1034"/>
      <c r="Z100" s="1034"/>
      <c r="AA100" s="1491"/>
      <c r="AB100" s="493"/>
      <c r="AC100" s="493"/>
      <c r="AD100" s="493"/>
      <c r="AE100" s="493"/>
    </row>
    <row r="101" spans="1:31" s="1708" customFormat="1" ht="11.25" customHeight="1">
      <c r="A101" s="880"/>
      <c r="B101" s="1495"/>
      <c r="C101" s="1495"/>
      <c r="D101" s="275"/>
      <c r="K101" s="1034"/>
      <c r="L101" s="1495"/>
      <c r="M101" s="1495"/>
      <c r="N101" s="1034"/>
      <c r="O101" s="1034"/>
      <c r="P101" s="1034"/>
      <c r="Q101" s="1034"/>
      <c r="R101" s="1495"/>
      <c r="S101" s="1034"/>
      <c r="T101" s="1034"/>
      <c r="U101" s="471"/>
      <c r="V101" s="1034"/>
      <c r="W101" s="1034"/>
      <c r="X101" s="1034"/>
      <c r="Y101" s="1034"/>
      <c r="Z101" s="1034"/>
      <c r="AA101" s="1491"/>
      <c r="AB101" s="493"/>
      <c r="AC101" s="493"/>
      <c r="AD101" s="493"/>
      <c r="AE101" s="493"/>
    </row>
    <row r="102" spans="1:31" s="1708" customFormat="1" ht="11.25" customHeight="1">
      <c r="A102" s="880"/>
      <c r="B102" s="1495"/>
      <c r="C102" s="1495"/>
      <c r="D102" s="275"/>
      <c r="K102" s="1034"/>
      <c r="L102" s="1495"/>
      <c r="M102" s="1495"/>
      <c r="N102" s="1034"/>
      <c r="O102" s="1034"/>
      <c r="P102" s="1034"/>
      <c r="Q102" s="1034"/>
      <c r="R102" s="1495"/>
      <c r="S102" s="1034"/>
      <c r="T102" s="1034"/>
      <c r="U102" s="471"/>
      <c r="V102" s="1034"/>
      <c r="W102" s="1034"/>
      <c r="X102" s="1034"/>
      <c r="Y102" s="1034"/>
      <c r="Z102" s="1034"/>
      <c r="AA102" s="1491"/>
      <c r="AB102" s="493"/>
      <c r="AC102" s="493"/>
      <c r="AD102" s="493"/>
      <c r="AE102" s="493"/>
    </row>
    <row r="103" spans="1:31" s="1708" customFormat="1" ht="11.25" customHeight="1">
      <c r="A103" s="880"/>
      <c r="B103" s="1495"/>
      <c r="C103" s="1495"/>
      <c r="D103" s="275"/>
      <c r="K103" s="1034"/>
      <c r="L103" s="1495"/>
      <c r="M103" s="1495"/>
      <c r="N103" s="1034"/>
      <c r="O103" s="1034"/>
      <c r="P103" s="1034"/>
      <c r="Q103" s="1034"/>
      <c r="R103" s="1495"/>
      <c r="S103" s="1034"/>
      <c r="T103" s="1034"/>
      <c r="U103" s="471"/>
      <c r="V103" s="1034"/>
      <c r="W103" s="1034"/>
      <c r="X103" s="1034"/>
      <c r="Y103" s="1034"/>
      <c r="Z103" s="1034"/>
      <c r="AA103" s="1491"/>
      <c r="AB103" s="493"/>
      <c r="AC103" s="493"/>
      <c r="AD103" s="493"/>
      <c r="AE103" s="493"/>
    </row>
    <row r="104" spans="1:31" s="1708" customFormat="1" ht="11.25" customHeight="1">
      <c r="A104" s="880"/>
      <c r="B104" s="1495"/>
      <c r="C104" s="1495"/>
      <c r="D104" s="275"/>
      <c r="K104" s="1034"/>
      <c r="L104" s="1495"/>
      <c r="M104" s="1495"/>
      <c r="N104" s="1034"/>
      <c r="O104" s="1034"/>
      <c r="P104" s="1034"/>
      <c r="Q104" s="1034"/>
      <c r="R104" s="1495"/>
      <c r="S104" s="1034"/>
      <c r="T104" s="1034"/>
      <c r="U104" s="471"/>
      <c r="V104" s="1034"/>
      <c r="W104" s="1034"/>
      <c r="X104" s="1034"/>
      <c r="Y104" s="1034"/>
      <c r="Z104" s="1034"/>
      <c r="AA104" s="1491"/>
      <c r="AB104" s="493"/>
      <c r="AC104" s="493"/>
      <c r="AD104" s="493"/>
      <c r="AE104" s="493"/>
    </row>
    <row r="105" spans="1:31" s="1708" customFormat="1" ht="11.25" customHeight="1">
      <c r="A105" s="880"/>
      <c r="B105" s="1495"/>
      <c r="C105" s="1495"/>
      <c r="D105" s="275"/>
      <c r="K105" s="1034"/>
      <c r="L105" s="1495"/>
      <c r="M105" s="1495"/>
      <c r="N105" s="1034"/>
      <c r="O105" s="1034"/>
      <c r="P105" s="1034"/>
      <c r="Q105" s="1034"/>
      <c r="R105" s="1495"/>
      <c r="S105" s="1034"/>
      <c r="T105" s="1034"/>
      <c r="U105" s="471"/>
      <c r="V105" s="1034"/>
      <c r="W105" s="1034"/>
      <c r="X105" s="1034"/>
      <c r="Y105" s="1034"/>
      <c r="Z105" s="1034"/>
      <c r="AA105" s="1491"/>
      <c r="AB105" s="493"/>
      <c r="AC105" s="493"/>
      <c r="AD105" s="493"/>
      <c r="AE105" s="493"/>
    </row>
    <row r="106" spans="1:31" s="1708" customFormat="1" ht="11.25" customHeight="1">
      <c r="A106" s="880"/>
      <c r="B106" s="1495"/>
      <c r="C106" s="1495"/>
      <c r="D106" s="275"/>
      <c r="K106" s="1034"/>
      <c r="L106" s="1495"/>
      <c r="M106" s="1495"/>
      <c r="N106" s="1034"/>
      <c r="O106" s="1034"/>
      <c r="P106" s="1034"/>
      <c r="Q106" s="1034"/>
      <c r="R106" s="1495"/>
      <c r="S106" s="1034"/>
      <c r="T106" s="1034"/>
      <c r="U106" s="471"/>
      <c r="V106" s="1034"/>
      <c r="W106" s="1034"/>
      <c r="X106" s="1034"/>
      <c r="Y106" s="1034"/>
      <c r="Z106" s="1034"/>
      <c r="AA106" s="1491"/>
      <c r="AB106" s="493"/>
      <c r="AC106" s="493"/>
      <c r="AD106" s="493"/>
      <c r="AE106" s="493"/>
    </row>
    <row r="107" spans="1:31" s="1708" customFormat="1" ht="11.25" customHeight="1">
      <c r="A107" s="880"/>
      <c r="B107" s="1495"/>
      <c r="C107" s="1495"/>
      <c r="D107" s="275"/>
      <c r="K107" s="1034"/>
      <c r="L107" s="1495"/>
      <c r="M107" s="1495"/>
      <c r="N107" s="1034"/>
      <c r="O107" s="1034"/>
      <c r="P107" s="1034"/>
      <c r="Q107" s="1034"/>
      <c r="R107" s="1495"/>
      <c r="S107" s="1034"/>
      <c r="T107" s="1034"/>
      <c r="U107" s="471"/>
      <c r="V107" s="1034"/>
      <c r="W107" s="1034"/>
      <c r="X107" s="1034"/>
      <c r="Y107" s="1034"/>
      <c r="Z107" s="1034"/>
      <c r="AA107" s="1491"/>
      <c r="AB107" s="493"/>
      <c r="AC107" s="493"/>
      <c r="AD107" s="493"/>
      <c r="AE107" s="493"/>
    </row>
    <row r="108" spans="1:31" s="1708" customFormat="1" ht="11.25" customHeight="1">
      <c r="A108" s="880"/>
      <c r="B108" s="1495"/>
      <c r="C108" s="1495"/>
      <c r="D108" s="275"/>
      <c r="K108" s="1034"/>
      <c r="L108" s="1495"/>
      <c r="M108" s="1495"/>
      <c r="N108" s="1034"/>
      <c r="O108" s="1034"/>
      <c r="P108" s="1034"/>
      <c r="Q108" s="1034"/>
      <c r="R108" s="1495"/>
      <c r="S108" s="1034"/>
      <c r="T108" s="1034"/>
      <c r="U108" s="471"/>
      <c r="V108" s="1034"/>
      <c r="W108" s="1034"/>
      <c r="X108" s="1034"/>
      <c r="Y108" s="1034"/>
      <c r="Z108" s="1034"/>
      <c r="AA108" s="1491"/>
      <c r="AB108" s="493"/>
      <c r="AC108" s="493"/>
      <c r="AD108" s="493"/>
      <c r="AE108" s="493"/>
    </row>
    <row r="109" spans="1:31" s="1708" customFormat="1" ht="11.25" customHeight="1">
      <c r="A109" s="880"/>
      <c r="B109" s="1495"/>
      <c r="C109" s="1495"/>
      <c r="D109" s="275"/>
      <c r="K109" s="1034"/>
      <c r="L109" s="1495"/>
      <c r="M109" s="1495"/>
      <c r="N109" s="1034"/>
      <c r="O109" s="1034"/>
      <c r="P109" s="1034"/>
      <c r="Q109" s="1034"/>
      <c r="R109" s="1495"/>
      <c r="S109" s="1034"/>
      <c r="T109" s="1034"/>
      <c r="U109" s="471"/>
      <c r="V109" s="1034"/>
      <c r="W109" s="1034"/>
      <c r="X109" s="1034"/>
      <c r="Y109" s="1034"/>
      <c r="Z109" s="1034"/>
      <c r="AA109" s="1491"/>
      <c r="AB109" s="493"/>
      <c r="AC109" s="493"/>
      <c r="AD109" s="493"/>
      <c r="AE109" s="493"/>
    </row>
    <row r="110" spans="1:31" s="1708" customFormat="1" ht="11.25" customHeight="1">
      <c r="A110" s="880"/>
      <c r="B110" s="1495"/>
      <c r="C110" s="1495"/>
      <c r="D110" s="275"/>
      <c r="K110" s="1034"/>
      <c r="L110" s="1495"/>
      <c r="M110" s="1495"/>
      <c r="N110" s="1034"/>
      <c r="O110" s="1034"/>
      <c r="P110" s="1034"/>
      <c r="Q110" s="1034"/>
      <c r="R110" s="1495"/>
      <c r="S110" s="1034"/>
      <c r="T110" s="1034"/>
      <c r="U110" s="471"/>
      <c r="V110" s="1034"/>
      <c r="W110" s="1034"/>
      <c r="X110" s="1034"/>
      <c r="Y110" s="1034"/>
      <c r="Z110" s="1034"/>
      <c r="AA110" s="1491"/>
      <c r="AB110" s="493"/>
      <c r="AC110" s="493"/>
      <c r="AD110" s="493"/>
      <c r="AE110" s="493"/>
    </row>
    <row r="111" spans="1:31" s="1708" customFormat="1" ht="11.25" customHeight="1">
      <c r="A111" s="880"/>
      <c r="B111" s="1495"/>
      <c r="C111" s="1495"/>
      <c r="D111" s="275"/>
      <c r="K111" s="1034"/>
      <c r="L111" s="1495"/>
      <c r="M111" s="1495"/>
      <c r="N111" s="1034"/>
      <c r="O111" s="1034"/>
      <c r="P111" s="1034"/>
      <c r="Q111" s="1034"/>
      <c r="R111" s="1495"/>
      <c r="S111" s="1034"/>
      <c r="T111" s="1034"/>
      <c r="U111" s="471"/>
      <c r="V111" s="1034"/>
      <c r="W111" s="1034"/>
      <c r="X111" s="1034"/>
      <c r="Y111" s="1034"/>
      <c r="Z111" s="1034"/>
      <c r="AA111" s="1491"/>
      <c r="AB111" s="493"/>
      <c r="AC111" s="493"/>
      <c r="AD111" s="493"/>
      <c r="AE111" s="493"/>
    </row>
    <row r="112" spans="1:31" s="1708" customFormat="1" ht="11.25" customHeight="1">
      <c r="A112" s="880"/>
      <c r="B112" s="1495"/>
      <c r="C112" s="1495"/>
      <c r="D112" s="275"/>
      <c r="K112" s="1034"/>
      <c r="L112" s="1495"/>
      <c r="M112" s="1495"/>
      <c r="N112" s="1034"/>
      <c r="O112" s="1034"/>
      <c r="P112" s="1034"/>
      <c r="Q112" s="1034"/>
      <c r="R112" s="1495"/>
      <c r="S112" s="1034"/>
      <c r="T112" s="1034"/>
      <c r="U112" s="471"/>
      <c r="V112" s="1034"/>
      <c r="W112" s="1034"/>
      <c r="X112" s="1034"/>
      <c r="Y112" s="1034"/>
      <c r="Z112" s="1034"/>
      <c r="AA112" s="1491"/>
      <c r="AB112" s="493"/>
      <c r="AC112" s="493"/>
      <c r="AD112" s="493"/>
      <c r="AE112" s="493"/>
    </row>
    <row r="113" spans="1:31" s="1708" customFormat="1" ht="11.25" customHeight="1">
      <c r="A113" s="880"/>
      <c r="B113" s="1495"/>
      <c r="C113" s="1495"/>
      <c r="D113" s="275"/>
      <c r="K113" s="1034"/>
      <c r="L113" s="1495"/>
      <c r="M113" s="1495"/>
      <c r="N113" s="1034"/>
      <c r="O113" s="1034"/>
      <c r="P113" s="1034"/>
      <c r="Q113" s="1034"/>
      <c r="R113" s="1495"/>
      <c r="S113" s="1034"/>
      <c r="T113" s="1034"/>
      <c r="U113" s="471"/>
      <c r="V113" s="1034"/>
      <c r="W113" s="1034"/>
      <c r="X113" s="1034"/>
      <c r="Y113" s="1034"/>
      <c r="Z113" s="1034"/>
      <c r="AA113" s="1491"/>
      <c r="AB113" s="493"/>
      <c r="AC113" s="493"/>
      <c r="AD113" s="493"/>
      <c r="AE113" s="493"/>
    </row>
    <row r="114" spans="1:31" s="1708" customFormat="1" ht="11.25" customHeight="1">
      <c r="A114" s="880"/>
      <c r="B114" s="1495"/>
      <c r="C114" s="1495"/>
      <c r="D114" s="275"/>
      <c r="K114" s="1034"/>
      <c r="L114" s="1495"/>
      <c r="M114" s="1495"/>
      <c r="N114" s="1034"/>
      <c r="O114" s="1034"/>
      <c r="P114" s="1034"/>
      <c r="Q114" s="1034"/>
      <c r="R114" s="1495"/>
      <c r="S114" s="1034"/>
      <c r="T114" s="1034"/>
      <c r="U114" s="471"/>
      <c r="V114" s="1034"/>
      <c r="W114" s="1034"/>
      <c r="X114" s="1034"/>
      <c r="Y114" s="1034"/>
      <c r="Z114" s="1034"/>
      <c r="AA114" s="1491"/>
      <c r="AB114" s="493"/>
      <c r="AC114" s="493"/>
      <c r="AD114" s="493"/>
      <c r="AE114" s="493"/>
    </row>
    <row r="115" spans="1:31" s="1708" customFormat="1" ht="11.25" customHeight="1">
      <c r="A115" s="880"/>
      <c r="B115" s="1495"/>
      <c r="C115" s="1495"/>
      <c r="D115" s="275"/>
      <c r="K115" s="1034"/>
      <c r="L115" s="1495"/>
      <c r="M115" s="1495"/>
      <c r="N115" s="1034"/>
      <c r="O115" s="1034"/>
      <c r="P115" s="1034"/>
      <c r="Q115" s="1034"/>
      <c r="R115" s="1495"/>
      <c r="S115" s="1034"/>
      <c r="T115" s="1034"/>
      <c r="U115" s="471"/>
      <c r="V115" s="1034"/>
      <c r="W115" s="1034"/>
      <c r="X115" s="1034"/>
      <c r="Y115" s="1034"/>
      <c r="Z115" s="1034"/>
      <c r="AA115" s="1491"/>
      <c r="AB115" s="493"/>
      <c r="AC115" s="493"/>
      <c r="AD115" s="493"/>
      <c r="AE115" s="493"/>
    </row>
    <row r="116" spans="1:31" s="1708" customFormat="1" ht="11.25" customHeight="1">
      <c r="A116" s="880"/>
      <c r="B116" s="1495"/>
      <c r="C116" s="1495"/>
      <c r="D116" s="275"/>
      <c r="K116" s="1034"/>
      <c r="L116" s="1495"/>
      <c r="M116" s="1495"/>
      <c r="N116" s="1034"/>
      <c r="O116" s="1034"/>
      <c r="P116" s="1034"/>
      <c r="Q116" s="1034"/>
      <c r="R116" s="1495"/>
      <c r="S116" s="1034"/>
      <c r="T116" s="1034"/>
      <c r="U116" s="471"/>
      <c r="V116" s="1034"/>
      <c r="W116" s="1034"/>
      <c r="X116" s="1034"/>
      <c r="Y116" s="1034"/>
      <c r="Z116" s="1034"/>
      <c r="AA116" s="1491"/>
      <c r="AB116" s="493"/>
      <c r="AC116" s="493"/>
      <c r="AD116" s="493"/>
      <c r="AE116" s="493"/>
    </row>
    <row r="117" spans="1:31" s="1708" customFormat="1" ht="11.25" customHeight="1">
      <c r="A117" s="880"/>
      <c r="B117" s="1495"/>
      <c r="C117" s="1495"/>
      <c r="D117" s="275"/>
      <c r="K117" s="1034"/>
      <c r="L117" s="1495"/>
      <c r="M117" s="1495"/>
      <c r="N117" s="1034"/>
      <c r="O117" s="1034"/>
      <c r="P117" s="1034"/>
      <c r="Q117" s="1034"/>
      <c r="R117" s="1495"/>
      <c r="S117" s="1034"/>
      <c r="T117" s="1034"/>
      <c r="U117" s="471"/>
      <c r="V117" s="1034"/>
      <c r="W117" s="1034"/>
      <c r="X117" s="1034"/>
      <c r="Y117" s="1034"/>
      <c r="Z117" s="1034"/>
      <c r="AA117" s="1491"/>
      <c r="AB117" s="493"/>
      <c r="AC117" s="493"/>
      <c r="AD117" s="493"/>
      <c r="AE117" s="493"/>
    </row>
    <row r="118" spans="1:31" s="1708" customFormat="1" ht="11.25" customHeight="1">
      <c r="A118" s="880"/>
      <c r="B118" s="1495"/>
      <c r="C118" s="1495"/>
      <c r="D118" s="275"/>
      <c r="K118" s="1034"/>
      <c r="L118" s="1495"/>
      <c r="M118" s="1495"/>
      <c r="N118" s="1034"/>
      <c r="O118" s="1034"/>
      <c r="P118" s="1034"/>
      <c r="Q118" s="1034"/>
      <c r="R118" s="1495"/>
      <c r="S118" s="1034"/>
      <c r="T118" s="1034"/>
      <c r="U118" s="471"/>
      <c r="V118" s="1034"/>
      <c r="W118" s="1034"/>
      <c r="X118" s="1034"/>
      <c r="Y118" s="1034"/>
      <c r="Z118" s="1034"/>
      <c r="AA118" s="1491"/>
      <c r="AB118" s="493"/>
      <c r="AC118" s="493"/>
      <c r="AD118" s="493"/>
      <c r="AE118" s="493"/>
    </row>
    <row r="119" spans="1:31" s="1708" customFormat="1" ht="11.25" customHeight="1">
      <c r="A119" s="880"/>
      <c r="B119" s="1495"/>
      <c r="C119" s="1495"/>
      <c r="D119" s="275"/>
      <c r="K119" s="1034"/>
      <c r="L119" s="1495"/>
      <c r="M119" s="1495"/>
      <c r="N119" s="1034"/>
      <c r="O119" s="1034"/>
      <c r="P119" s="1034"/>
      <c r="Q119" s="1034"/>
      <c r="R119" s="1495"/>
      <c r="S119" s="1034"/>
      <c r="T119" s="1034"/>
      <c r="U119" s="471"/>
      <c r="V119" s="1034"/>
      <c r="W119" s="1034"/>
      <c r="X119" s="1034"/>
      <c r="Y119" s="1034"/>
      <c r="Z119" s="1034"/>
      <c r="AA119" s="1491"/>
      <c r="AB119" s="493"/>
      <c r="AC119" s="493"/>
      <c r="AD119" s="493"/>
      <c r="AE119" s="493"/>
    </row>
    <row r="120" spans="1:31" s="1708" customFormat="1" ht="11.25" customHeight="1">
      <c r="A120" s="880"/>
      <c r="B120" s="1495"/>
      <c r="C120" s="1495"/>
      <c r="D120" s="275"/>
      <c r="K120" s="1034"/>
      <c r="L120" s="1495"/>
      <c r="M120" s="1495"/>
      <c r="N120" s="1034"/>
      <c r="O120" s="1034"/>
      <c r="P120" s="1034"/>
      <c r="Q120" s="1034"/>
      <c r="R120" s="1495"/>
      <c r="S120" s="1034"/>
      <c r="T120" s="1034"/>
      <c r="U120" s="471"/>
      <c r="V120" s="1034"/>
      <c r="W120" s="1034"/>
      <c r="X120" s="1034"/>
      <c r="Y120" s="1034"/>
      <c r="Z120" s="1034"/>
      <c r="AA120" s="1491"/>
      <c r="AB120" s="493"/>
      <c r="AC120" s="493"/>
      <c r="AD120" s="493"/>
      <c r="AE120" s="493"/>
    </row>
    <row r="121" spans="1:31" s="1708" customFormat="1" ht="11.25" customHeight="1">
      <c r="A121" s="880"/>
      <c r="B121" s="1495"/>
      <c r="C121" s="1495"/>
      <c r="D121" s="275"/>
      <c r="K121" s="1034"/>
      <c r="L121" s="1495"/>
      <c r="M121" s="1495"/>
      <c r="N121" s="1034"/>
      <c r="O121" s="1034"/>
      <c r="P121" s="1034"/>
      <c r="Q121" s="1034"/>
      <c r="R121" s="1495"/>
      <c r="S121" s="1034"/>
      <c r="T121" s="1034"/>
      <c r="U121" s="471"/>
      <c r="V121" s="1034"/>
      <c r="W121" s="1034"/>
      <c r="X121" s="1034"/>
      <c r="Y121" s="1034"/>
      <c r="Z121" s="1034"/>
      <c r="AA121" s="1491"/>
      <c r="AB121" s="493"/>
      <c r="AC121" s="493"/>
      <c r="AD121" s="493"/>
      <c r="AE121" s="493"/>
    </row>
    <row r="122" spans="1:31" s="1708" customFormat="1" ht="11.25" customHeight="1">
      <c r="A122" s="880"/>
      <c r="B122" s="1495"/>
      <c r="C122" s="1495"/>
      <c r="D122" s="275"/>
      <c r="K122" s="1034"/>
      <c r="L122" s="1495"/>
      <c r="M122" s="1495"/>
      <c r="N122" s="1034"/>
      <c r="O122" s="1034"/>
      <c r="P122" s="1034"/>
      <c r="Q122" s="1034"/>
      <c r="R122" s="1495"/>
      <c r="S122" s="1034"/>
      <c r="T122" s="1034"/>
      <c r="U122" s="471"/>
      <c r="V122" s="1034"/>
      <c r="W122" s="1034"/>
      <c r="X122" s="1034"/>
      <c r="Y122" s="1034"/>
      <c r="Z122" s="1034"/>
      <c r="AA122" s="1491"/>
      <c r="AB122" s="493"/>
      <c r="AC122" s="493"/>
      <c r="AD122" s="493"/>
      <c r="AE122" s="493"/>
    </row>
    <row r="123" spans="1:31" s="1708" customFormat="1" ht="11.25" customHeight="1">
      <c r="A123" s="880"/>
      <c r="B123" s="1495"/>
      <c r="C123" s="1495"/>
      <c r="D123" s="275"/>
      <c r="K123" s="1034"/>
      <c r="L123" s="1495"/>
      <c r="M123" s="1495"/>
      <c r="N123" s="1034"/>
      <c r="O123" s="1034"/>
      <c r="P123" s="1034"/>
      <c r="Q123" s="1034"/>
      <c r="R123" s="1495"/>
      <c r="S123" s="1034"/>
      <c r="T123" s="1034"/>
      <c r="U123" s="471"/>
      <c r="V123" s="1034"/>
      <c r="W123" s="1034"/>
      <c r="X123" s="1034"/>
      <c r="Y123" s="1034"/>
      <c r="Z123" s="1034"/>
      <c r="AA123" s="1491"/>
      <c r="AB123" s="493"/>
      <c r="AC123" s="493"/>
      <c r="AD123" s="493"/>
      <c r="AE123" s="493"/>
    </row>
    <row r="124" spans="1:31" s="1708" customFormat="1" ht="11.25" customHeight="1">
      <c r="A124" s="880"/>
      <c r="B124" s="1495"/>
      <c r="C124" s="1495"/>
      <c r="D124" s="275"/>
      <c r="K124" s="1034"/>
      <c r="L124" s="1495"/>
      <c r="M124" s="1495"/>
      <c r="N124" s="1034"/>
      <c r="O124" s="1034"/>
      <c r="P124" s="1034"/>
      <c r="Q124" s="1034"/>
      <c r="R124" s="1495"/>
      <c r="S124" s="1034"/>
      <c r="T124" s="1034"/>
      <c r="U124" s="471"/>
      <c r="V124" s="1034"/>
      <c r="W124" s="1034"/>
      <c r="X124" s="1034"/>
      <c r="Y124" s="1034"/>
      <c r="Z124" s="1034"/>
      <c r="AA124" s="1491"/>
      <c r="AB124" s="493"/>
      <c r="AC124" s="493"/>
      <c r="AD124" s="493"/>
      <c r="AE124" s="493"/>
    </row>
    <row r="125" spans="1:31" s="1708" customFormat="1" ht="11.25" customHeight="1">
      <c r="A125" s="880"/>
      <c r="B125" s="1495"/>
      <c r="C125" s="1495"/>
      <c r="D125" s="275"/>
      <c r="K125" s="1034"/>
      <c r="L125" s="1495"/>
      <c r="M125" s="1495"/>
      <c r="N125" s="1034"/>
      <c r="O125" s="1034"/>
      <c r="P125" s="1034"/>
      <c r="Q125" s="1034"/>
      <c r="R125" s="1495"/>
      <c r="S125" s="1034"/>
      <c r="T125" s="1034"/>
      <c r="U125" s="471"/>
      <c r="V125" s="1034"/>
      <c r="W125" s="1034"/>
      <c r="X125" s="1034"/>
      <c r="Y125" s="1034"/>
      <c r="Z125" s="1034"/>
      <c r="AA125" s="1491"/>
      <c r="AB125" s="493"/>
      <c r="AC125" s="493"/>
      <c r="AD125" s="493"/>
      <c r="AE125" s="493"/>
    </row>
    <row r="126" spans="1:31" s="1708" customFormat="1" ht="11.25" customHeight="1">
      <c r="A126" s="880"/>
      <c r="B126" s="1495"/>
      <c r="C126" s="1495"/>
      <c r="D126" s="275"/>
      <c r="K126" s="1034"/>
      <c r="L126" s="1495"/>
      <c r="M126" s="1495"/>
      <c r="N126" s="1034"/>
      <c r="O126" s="1034"/>
      <c r="P126" s="1034"/>
      <c r="Q126" s="1034"/>
      <c r="R126" s="1495"/>
      <c r="S126" s="1034"/>
      <c r="T126" s="1034"/>
      <c r="U126" s="471"/>
      <c r="V126" s="1034"/>
      <c r="W126" s="1034"/>
      <c r="X126" s="1034"/>
      <c r="Y126" s="1034"/>
      <c r="Z126" s="1034"/>
      <c r="AA126" s="1491"/>
      <c r="AB126" s="493"/>
      <c r="AC126" s="493"/>
      <c r="AD126" s="493"/>
      <c r="AE126" s="493"/>
    </row>
    <row r="127" spans="1:31" s="1708" customFormat="1" ht="11.25" customHeight="1">
      <c r="A127" s="880"/>
      <c r="B127" s="1495"/>
      <c r="C127" s="1495"/>
      <c r="D127" s="275"/>
      <c r="K127" s="1034"/>
      <c r="L127" s="1495"/>
      <c r="M127" s="1495"/>
      <c r="N127" s="1034"/>
      <c r="O127" s="1034"/>
      <c r="P127" s="1034"/>
      <c r="Q127" s="1034"/>
      <c r="R127" s="1495"/>
      <c r="S127" s="1034"/>
      <c r="T127" s="1034"/>
      <c r="U127" s="471"/>
      <c r="V127" s="1034"/>
      <c r="W127" s="1034"/>
      <c r="X127" s="1034"/>
      <c r="Y127" s="1034"/>
      <c r="Z127" s="1034"/>
      <c r="AA127" s="1491"/>
      <c r="AB127" s="493"/>
      <c r="AC127" s="493"/>
      <c r="AD127" s="493"/>
      <c r="AE127" s="493"/>
    </row>
    <row r="128" spans="1:31" s="1708" customFormat="1" ht="11.25" customHeight="1">
      <c r="A128" s="880"/>
      <c r="B128" s="1495"/>
      <c r="C128" s="1495"/>
      <c r="D128" s="275"/>
      <c r="K128" s="1034"/>
      <c r="L128" s="1495"/>
      <c r="M128" s="1495"/>
      <c r="N128" s="1034"/>
      <c r="O128" s="1034"/>
      <c r="P128" s="1034"/>
      <c r="Q128" s="1034"/>
      <c r="R128" s="1495"/>
      <c r="S128" s="1034"/>
      <c r="T128" s="1034"/>
      <c r="U128" s="471"/>
      <c r="V128" s="1034"/>
      <c r="W128" s="1034"/>
      <c r="X128" s="1034"/>
      <c r="Y128" s="1034"/>
      <c r="Z128" s="1034"/>
      <c r="AA128" s="1491"/>
      <c r="AB128" s="493"/>
      <c r="AC128" s="493"/>
      <c r="AD128" s="493"/>
      <c r="AE128" s="493"/>
    </row>
    <row r="129" spans="1:31" s="1708" customFormat="1" ht="11.25" customHeight="1">
      <c r="A129" s="880"/>
      <c r="B129" s="1495"/>
      <c r="C129" s="1495"/>
      <c r="D129" s="275"/>
      <c r="K129" s="1034"/>
      <c r="L129" s="1495"/>
      <c r="M129" s="1495"/>
      <c r="N129" s="1034"/>
      <c r="O129" s="1034"/>
      <c r="P129" s="1034"/>
      <c r="Q129" s="1034"/>
      <c r="R129" s="1495"/>
      <c r="S129" s="1034"/>
      <c r="T129" s="1034"/>
      <c r="U129" s="471"/>
      <c r="V129" s="1034"/>
      <c r="W129" s="1034"/>
      <c r="X129" s="1034"/>
      <c r="Y129" s="1034"/>
      <c r="Z129" s="1034"/>
      <c r="AA129" s="1491"/>
      <c r="AB129" s="493"/>
      <c r="AC129" s="493"/>
      <c r="AD129" s="493"/>
      <c r="AE129" s="493"/>
    </row>
    <row r="130" spans="1:31" s="1708" customFormat="1" ht="11.25" customHeight="1">
      <c r="A130" s="880"/>
      <c r="B130" s="1495"/>
      <c r="C130" s="1495"/>
      <c r="D130" s="275"/>
      <c r="K130" s="1034"/>
      <c r="L130" s="1495"/>
      <c r="M130" s="1495"/>
      <c r="N130" s="1034"/>
      <c r="O130" s="1034"/>
      <c r="P130" s="1034"/>
      <c r="Q130" s="1034"/>
      <c r="R130" s="1495"/>
      <c r="S130" s="1034"/>
      <c r="T130" s="1034"/>
      <c r="U130" s="471"/>
      <c r="V130" s="1034"/>
      <c r="W130" s="1034"/>
      <c r="X130" s="1034"/>
      <c r="Y130" s="1034"/>
      <c r="Z130" s="1034"/>
      <c r="AA130" s="1491"/>
      <c r="AB130" s="493"/>
      <c r="AC130" s="493"/>
      <c r="AD130" s="493"/>
      <c r="AE130" s="493"/>
    </row>
    <row r="131" spans="1:31" s="1708" customFormat="1" ht="11.25" customHeight="1">
      <c r="A131" s="880"/>
      <c r="B131" s="1495"/>
      <c r="C131" s="1495"/>
      <c r="D131" s="275"/>
      <c r="K131" s="1034"/>
      <c r="L131" s="1495"/>
      <c r="M131" s="1495"/>
      <c r="N131" s="1034"/>
      <c r="O131" s="1034"/>
      <c r="P131" s="1034"/>
      <c r="Q131" s="1034"/>
      <c r="R131" s="1495"/>
      <c r="S131" s="1034"/>
      <c r="T131" s="1034"/>
      <c r="U131" s="471"/>
      <c r="V131" s="1034"/>
      <c r="W131" s="1034"/>
      <c r="X131" s="1034"/>
      <c r="Y131" s="1034"/>
      <c r="Z131" s="1034"/>
      <c r="AA131" s="1491"/>
      <c r="AB131" s="493"/>
      <c r="AC131" s="493"/>
      <c r="AD131" s="493"/>
      <c r="AE131" s="493"/>
    </row>
    <row r="132" spans="1:31" s="1708" customFormat="1" ht="11.25" customHeight="1">
      <c r="A132" s="880"/>
      <c r="B132" s="1495"/>
      <c r="C132" s="1495"/>
      <c r="D132" s="275"/>
      <c r="K132" s="1034"/>
      <c r="L132" s="1495"/>
      <c r="M132" s="1495"/>
      <c r="N132" s="1034"/>
      <c r="O132" s="1034"/>
      <c r="P132" s="1034"/>
      <c r="Q132" s="1034"/>
      <c r="R132" s="1495"/>
      <c r="S132" s="1034"/>
      <c r="T132" s="1034"/>
      <c r="U132" s="471"/>
      <c r="V132" s="1034"/>
      <c r="W132" s="1034"/>
      <c r="X132" s="1034"/>
      <c r="Y132" s="1034"/>
      <c r="Z132" s="1034"/>
      <c r="AA132" s="1491"/>
      <c r="AB132" s="493"/>
      <c r="AC132" s="493"/>
      <c r="AD132" s="493"/>
      <c r="AE132" s="493"/>
    </row>
    <row r="133" spans="1:31" s="1708" customFormat="1" ht="11.25" customHeight="1">
      <c r="A133" s="880"/>
      <c r="B133" s="1495"/>
      <c r="C133" s="1495"/>
      <c r="D133" s="275"/>
      <c r="K133" s="1034"/>
      <c r="L133" s="1495"/>
      <c r="M133" s="1495"/>
      <c r="N133" s="1034"/>
      <c r="O133" s="1034"/>
      <c r="P133" s="1034"/>
      <c r="Q133" s="1034"/>
      <c r="R133" s="1495"/>
      <c r="S133" s="1034"/>
      <c r="T133" s="1034"/>
      <c r="U133" s="471"/>
      <c r="V133" s="1034"/>
      <c r="W133" s="1034"/>
      <c r="X133" s="1034"/>
      <c r="Y133" s="1034"/>
      <c r="Z133" s="1034"/>
      <c r="AA133" s="1491"/>
      <c r="AB133" s="493"/>
      <c r="AC133" s="493"/>
      <c r="AD133" s="493"/>
      <c r="AE133" s="493"/>
    </row>
    <row r="134" spans="1:31" s="1708" customFormat="1" ht="11.25" customHeight="1">
      <c r="A134" s="880"/>
      <c r="B134" s="1495"/>
      <c r="C134" s="1495"/>
      <c r="D134" s="275"/>
      <c r="K134" s="1034"/>
      <c r="L134" s="1495"/>
      <c r="M134" s="1495"/>
      <c r="N134" s="1034"/>
      <c r="O134" s="1034"/>
      <c r="P134" s="1034"/>
      <c r="Q134" s="1034"/>
      <c r="R134" s="1495"/>
      <c r="S134" s="1034"/>
      <c r="T134" s="1034"/>
      <c r="U134" s="471"/>
      <c r="V134" s="1034"/>
      <c r="W134" s="1034"/>
      <c r="X134" s="1034"/>
      <c r="Y134" s="1034"/>
      <c r="Z134" s="1034"/>
      <c r="AA134" s="1491"/>
      <c r="AB134" s="493"/>
      <c r="AC134" s="493"/>
      <c r="AD134" s="493"/>
      <c r="AE134" s="493"/>
    </row>
    <row r="135" spans="1:31" s="1708" customFormat="1" ht="11.25" customHeight="1">
      <c r="A135" s="880"/>
      <c r="B135" s="1495"/>
      <c r="C135" s="1495"/>
      <c r="D135" s="275"/>
      <c r="K135" s="1034"/>
      <c r="L135" s="1495"/>
      <c r="M135" s="1495"/>
      <c r="N135" s="1034"/>
      <c r="O135" s="1034"/>
      <c r="P135" s="1034"/>
      <c r="Q135" s="1034"/>
      <c r="R135" s="1495"/>
      <c r="S135" s="1034"/>
      <c r="T135" s="1034"/>
      <c r="U135" s="471"/>
      <c r="V135" s="1034"/>
      <c r="W135" s="1034"/>
      <c r="X135" s="1034"/>
      <c r="Y135" s="1034"/>
      <c r="Z135" s="1034"/>
      <c r="AA135" s="1491"/>
      <c r="AB135" s="493"/>
      <c r="AC135" s="493"/>
      <c r="AD135" s="493"/>
      <c r="AE135" s="493"/>
    </row>
    <row r="136" spans="1:31" s="1708" customFormat="1" ht="11.25" customHeight="1">
      <c r="A136" s="880"/>
      <c r="B136" s="1495"/>
      <c r="C136" s="1495"/>
      <c r="D136" s="275"/>
      <c r="K136" s="1034"/>
      <c r="L136" s="1495"/>
      <c r="M136" s="1495"/>
      <c r="N136" s="1034"/>
      <c r="O136" s="1034"/>
      <c r="P136" s="1034"/>
      <c r="Q136" s="1034"/>
      <c r="R136" s="1495"/>
      <c r="S136" s="1034"/>
      <c r="T136" s="1034"/>
      <c r="U136" s="471"/>
      <c r="V136" s="1034"/>
      <c r="W136" s="1034"/>
      <c r="X136" s="1034"/>
      <c r="Y136" s="1034"/>
      <c r="Z136" s="1034"/>
      <c r="AA136" s="1491"/>
      <c r="AB136" s="493"/>
      <c r="AC136" s="493"/>
      <c r="AD136" s="493"/>
      <c r="AE136" s="493"/>
    </row>
    <row r="137" spans="1:31" s="1708" customFormat="1" ht="11.25" customHeight="1">
      <c r="A137" s="880"/>
      <c r="B137" s="1495"/>
      <c r="C137" s="1495"/>
      <c r="D137" s="275"/>
      <c r="K137" s="1034"/>
      <c r="L137" s="1495"/>
      <c r="M137" s="1495"/>
      <c r="N137" s="1034"/>
      <c r="O137" s="1034"/>
      <c r="P137" s="1034"/>
      <c r="Q137" s="1034"/>
      <c r="R137" s="1495"/>
      <c r="S137" s="1034"/>
      <c r="T137" s="1034"/>
      <c r="U137" s="471"/>
      <c r="V137" s="1034"/>
      <c r="W137" s="1034"/>
      <c r="X137" s="1034"/>
      <c r="Y137" s="1034"/>
      <c r="Z137" s="1034"/>
      <c r="AA137" s="1491"/>
      <c r="AB137" s="493"/>
      <c r="AC137" s="493"/>
      <c r="AD137" s="493"/>
      <c r="AE137" s="493"/>
    </row>
    <row r="138" spans="1:31" s="1708" customFormat="1" ht="11.25" customHeight="1">
      <c r="A138" s="880"/>
      <c r="B138" s="1495"/>
      <c r="C138" s="1495"/>
      <c r="D138" s="275"/>
      <c r="K138" s="1034"/>
      <c r="L138" s="1495"/>
      <c r="M138" s="1495"/>
      <c r="N138" s="1034"/>
      <c r="O138" s="1034"/>
      <c r="P138" s="1034"/>
      <c r="Q138" s="1034"/>
      <c r="R138" s="1495"/>
      <c r="S138" s="1034"/>
      <c r="T138" s="1034"/>
      <c r="U138" s="471"/>
      <c r="V138" s="1034"/>
      <c r="W138" s="1034"/>
      <c r="X138" s="1034"/>
      <c r="Y138" s="1034"/>
      <c r="Z138" s="1034"/>
      <c r="AA138" s="1491"/>
      <c r="AB138" s="493"/>
      <c r="AC138" s="493"/>
      <c r="AD138" s="493"/>
      <c r="AE138" s="493"/>
    </row>
    <row r="139" spans="1:31" s="1708" customFormat="1" ht="11.25" customHeight="1">
      <c r="A139" s="880"/>
      <c r="B139" s="1495"/>
      <c r="C139" s="1495"/>
      <c r="D139" s="275"/>
      <c r="K139" s="1034"/>
      <c r="L139" s="1495"/>
      <c r="M139" s="1495"/>
      <c r="N139" s="1034"/>
      <c r="O139" s="1034"/>
      <c r="P139" s="1034"/>
      <c r="Q139" s="1034"/>
      <c r="R139" s="1495"/>
      <c r="S139" s="1034"/>
      <c r="T139" s="1034"/>
      <c r="U139" s="471"/>
      <c r="V139" s="1034"/>
      <c r="W139" s="1034"/>
      <c r="X139" s="1034"/>
      <c r="Y139" s="1034"/>
      <c r="Z139" s="1034"/>
      <c r="AA139" s="1491"/>
      <c r="AB139" s="493"/>
      <c r="AC139" s="493"/>
      <c r="AD139" s="493"/>
      <c r="AE139" s="493"/>
    </row>
    <row r="140" spans="1:31" s="1708" customFormat="1" ht="11.25" customHeight="1">
      <c r="A140" s="880"/>
      <c r="B140" s="1495"/>
      <c r="C140" s="1495"/>
      <c r="D140" s="275"/>
      <c r="K140" s="1034"/>
      <c r="L140" s="1495"/>
      <c r="M140" s="1495"/>
      <c r="N140" s="1034"/>
      <c r="O140" s="1034"/>
      <c r="P140" s="1034"/>
      <c r="Q140" s="1034"/>
      <c r="R140" s="1495"/>
      <c r="S140" s="1034"/>
      <c r="T140" s="1034"/>
      <c r="U140" s="471"/>
      <c r="V140" s="1034"/>
      <c r="W140" s="1034"/>
      <c r="X140" s="1034"/>
      <c r="Y140" s="1034"/>
      <c r="Z140" s="1034"/>
      <c r="AA140" s="1491"/>
      <c r="AB140" s="493"/>
      <c r="AC140" s="493"/>
      <c r="AD140" s="493"/>
      <c r="AE140" s="493"/>
    </row>
    <row r="141" spans="1:31" s="1708" customFormat="1" ht="11.25" customHeight="1">
      <c r="A141" s="880"/>
      <c r="B141" s="1495"/>
      <c r="C141" s="1495"/>
      <c r="D141" s="275"/>
      <c r="K141" s="1034"/>
      <c r="L141" s="1495"/>
      <c r="M141" s="1495"/>
      <c r="N141" s="1034"/>
      <c r="O141" s="1034"/>
      <c r="P141" s="1034"/>
      <c r="Q141" s="1034"/>
      <c r="R141" s="1495"/>
      <c r="S141" s="1034"/>
      <c r="T141" s="1034"/>
      <c r="U141" s="471"/>
      <c r="V141" s="1034"/>
      <c r="W141" s="1034"/>
      <c r="X141" s="1034"/>
      <c r="Y141" s="1034"/>
      <c r="Z141" s="1034"/>
      <c r="AA141" s="1491"/>
      <c r="AB141" s="493"/>
      <c r="AC141" s="493"/>
      <c r="AD141" s="493"/>
      <c r="AE141" s="493"/>
    </row>
    <row r="142" spans="1:31" s="1708" customFormat="1" ht="11.25" customHeight="1">
      <c r="A142" s="880"/>
      <c r="B142" s="1495"/>
      <c r="C142" s="1495"/>
      <c r="D142" s="275"/>
      <c r="K142" s="1034"/>
      <c r="L142" s="1495"/>
      <c r="M142" s="1495"/>
      <c r="N142" s="1034"/>
      <c r="O142" s="1034"/>
      <c r="P142" s="1034"/>
      <c r="Q142" s="1034"/>
      <c r="R142" s="1495"/>
      <c r="S142" s="1034"/>
      <c r="T142" s="1034"/>
      <c r="U142" s="471"/>
      <c r="V142" s="1034"/>
      <c r="W142" s="1034"/>
      <c r="X142" s="1034"/>
      <c r="Y142" s="1034"/>
      <c r="Z142" s="1034"/>
      <c r="AA142" s="1491"/>
      <c r="AB142" s="493"/>
      <c r="AC142" s="493"/>
      <c r="AD142" s="493"/>
      <c r="AE142" s="493"/>
    </row>
    <row r="143" spans="1:31" s="1708" customFormat="1" ht="11.25" customHeight="1">
      <c r="A143" s="880"/>
      <c r="B143" s="1495"/>
      <c r="C143" s="1495"/>
      <c r="D143" s="275"/>
      <c r="K143" s="1034"/>
      <c r="L143" s="1495"/>
      <c r="M143" s="1495"/>
      <c r="N143" s="1034"/>
      <c r="O143" s="1034"/>
      <c r="P143" s="1034"/>
      <c r="Q143" s="1034"/>
      <c r="R143" s="1495"/>
      <c r="S143" s="1034"/>
      <c r="T143" s="1034"/>
      <c r="U143" s="471"/>
      <c r="V143" s="1034"/>
      <c r="W143" s="1034"/>
      <c r="X143" s="1034"/>
      <c r="Y143" s="1034"/>
      <c r="Z143" s="1034"/>
      <c r="AA143" s="1491"/>
      <c r="AB143" s="493"/>
      <c r="AC143" s="493"/>
      <c r="AD143" s="493"/>
      <c r="AE143" s="493"/>
    </row>
    <row r="144" spans="1:31" s="1708" customFormat="1" ht="11.25" customHeight="1">
      <c r="A144" s="880"/>
      <c r="B144" s="1495"/>
      <c r="C144" s="1495"/>
      <c r="D144" s="275"/>
      <c r="K144" s="1034"/>
      <c r="L144" s="1495"/>
      <c r="M144" s="1495"/>
      <c r="N144" s="1034"/>
      <c r="O144" s="1034"/>
      <c r="P144" s="1034"/>
      <c r="Q144" s="1034"/>
      <c r="R144" s="1495"/>
      <c r="S144" s="1034"/>
      <c r="T144" s="1034"/>
      <c r="U144" s="471"/>
      <c r="V144" s="1034"/>
      <c r="W144" s="1034"/>
      <c r="X144" s="1034"/>
      <c r="Y144" s="1034"/>
      <c r="Z144" s="1034"/>
      <c r="AA144" s="1491"/>
      <c r="AB144" s="493"/>
      <c r="AC144" s="493"/>
      <c r="AD144" s="493"/>
      <c r="AE144" s="493"/>
    </row>
    <row r="145" spans="1:31" s="1708" customFormat="1" ht="11.25" customHeight="1">
      <c r="A145" s="880"/>
      <c r="B145" s="1495"/>
      <c r="C145" s="1495"/>
      <c r="D145" s="275"/>
      <c r="K145" s="1034"/>
      <c r="L145" s="1495"/>
      <c r="M145" s="1495"/>
      <c r="N145" s="1034"/>
      <c r="O145" s="1034"/>
      <c r="P145" s="1034"/>
      <c r="Q145" s="1034"/>
      <c r="R145" s="1495"/>
      <c r="S145" s="1034"/>
      <c r="T145" s="1034"/>
      <c r="U145" s="471"/>
      <c r="V145" s="1034"/>
      <c r="W145" s="1034"/>
      <c r="X145" s="1034"/>
      <c r="Y145" s="1034"/>
      <c r="Z145" s="1034"/>
      <c r="AA145" s="1491"/>
      <c r="AB145" s="493"/>
      <c r="AC145" s="493"/>
      <c r="AD145" s="493"/>
      <c r="AE145" s="493"/>
    </row>
    <row r="146" spans="1:31" s="1708" customFormat="1" ht="11.25" customHeight="1">
      <c r="A146" s="880"/>
      <c r="B146" s="1495"/>
      <c r="C146" s="1495"/>
      <c r="D146" s="275"/>
      <c r="K146" s="1034"/>
      <c r="L146" s="1495"/>
      <c r="M146" s="1495"/>
      <c r="N146" s="1034"/>
      <c r="O146" s="1034"/>
      <c r="P146" s="1034"/>
      <c r="Q146" s="1034"/>
      <c r="R146" s="1495"/>
      <c r="S146" s="1034"/>
      <c r="T146" s="1034"/>
      <c r="U146" s="471"/>
      <c r="V146" s="1034"/>
      <c r="W146" s="1034"/>
      <c r="X146" s="1034"/>
      <c r="Y146" s="1034"/>
      <c r="Z146" s="1034"/>
      <c r="AA146" s="1491"/>
      <c r="AB146" s="493"/>
      <c r="AC146" s="493"/>
      <c r="AD146" s="493"/>
      <c r="AE146" s="493"/>
    </row>
    <row r="147" spans="1:31" s="1708" customFormat="1" ht="11.25" customHeight="1">
      <c r="A147" s="880"/>
      <c r="B147" s="1495"/>
      <c r="C147" s="1495"/>
      <c r="D147" s="275"/>
      <c r="K147" s="1034"/>
      <c r="L147" s="1495"/>
      <c r="M147" s="1495"/>
      <c r="N147" s="1034"/>
      <c r="O147" s="1034"/>
      <c r="P147" s="1034"/>
      <c r="Q147" s="1034"/>
      <c r="R147" s="1495"/>
      <c r="S147" s="1034"/>
      <c r="T147" s="1034"/>
      <c r="U147" s="471"/>
      <c r="V147" s="1034"/>
      <c r="W147" s="1034"/>
      <c r="X147" s="1034"/>
      <c r="Y147" s="1034"/>
      <c r="Z147" s="1034"/>
      <c r="AA147" s="1491"/>
      <c r="AB147" s="493"/>
      <c r="AC147" s="493"/>
      <c r="AD147" s="493"/>
      <c r="AE147" s="493"/>
    </row>
    <row r="148" spans="1:31" s="1708" customFormat="1" ht="11.25" customHeight="1">
      <c r="A148" s="880"/>
      <c r="B148" s="1495"/>
      <c r="C148" s="1495"/>
      <c r="D148" s="275"/>
      <c r="K148" s="1034"/>
      <c r="L148" s="1495"/>
      <c r="M148" s="1495"/>
      <c r="N148" s="1034"/>
      <c r="O148" s="1034"/>
      <c r="P148" s="1034"/>
      <c r="Q148" s="1034"/>
      <c r="R148" s="1495"/>
      <c r="S148" s="1034"/>
      <c r="T148" s="1034"/>
      <c r="U148" s="471"/>
      <c r="V148" s="1034"/>
      <c r="W148" s="1034"/>
      <c r="X148" s="1034"/>
      <c r="Y148" s="1034"/>
      <c r="Z148" s="1034"/>
      <c r="AA148" s="1491"/>
      <c r="AB148" s="493"/>
      <c r="AC148" s="493"/>
      <c r="AD148" s="493"/>
      <c r="AE148" s="493"/>
    </row>
    <row r="149" spans="1:31" s="1708" customFormat="1" ht="11.25" customHeight="1">
      <c r="A149" s="880"/>
      <c r="B149" s="1495"/>
      <c r="C149" s="1495"/>
      <c r="D149" s="275"/>
      <c r="K149" s="1034"/>
      <c r="L149" s="1495"/>
      <c r="M149" s="1495"/>
      <c r="N149" s="1034"/>
      <c r="O149" s="1034"/>
      <c r="P149" s="1034"/>
      <c r="Q149" s="1034"/>
      <c r="R149" s="1495"/>
      <c r="S149" s="1034"/>
      <c r="T149" s="1034"/>
      <c r="U149" s="471"/>
      <c r="V149" s="1034"/>
      <c r="W149" s="1034"/>
      <c r="X149" s="1034"/>
      <c r="Y149" s="1034"/>
      <c r="Z149" s="1034"/>
      <c r="AA149" s="1491"/>
      <c r="AB149" s="493"/>
      <c r="AC149" s="493"/>
      <c r="AD149" s="493"/>
      <c r="AE149" s="493"/>
    </row>
    <row r="150" spans="1:31" s="1708" customFormat="1" ht="11.25" customHeight="1">
      <c r="A150" s="880"/>
      <c r="B150" s="1495"/>
      <c r="C150" s="1495"/>
      <c r="D150" s="275"/>
      <c r="K150" s="1034"/>
      <c r="L150" s="1495"/>
      <c r="M150" s="1495"/>
      <c r="N150" s="1034"/>
      <c r="O150" s="1034"/>
      <c r="P150" s="1034"/>
      <c r="Q150" s="1034"/>
      <c r="R150" s="1495"/>
      <c r="S150" s="1034"/>
      <c r="T150" s="1034"/>
      <c r="U150" s="471"/>
      <c r="V150" s="1034"/>
      <c r="W150" s="1034"/>
      <c r="X150" s="1034"/>
      <c r="Y150" s="1034"/>
      <c r="Z150" s="1034"/>
      <c r="AA150" s="1491"/>
      <c r="AB150" s="493"/>
      <c r="AC150" s="493"/>
      <c r="AD150" s="493"/>
      <c r="AE150" s="493"/>
    </row>
    <row r="151" spans="1:31" s="1708" customFormat="1" ht="11.25" customHeight="1">
      <c r="A151" s="880"/>
      <c r="B151" s="1495"/>
      <c r="C151" s="1495"/>
      <c r="D151" s="275"/>
      <c r="K151" s="1034"/>
      <c r="L151" s="1495"/>
      <c r="M151" s="1495"/>
      <c r="N151" s="1034"/>
      <c r="O151" s="1034"/>
      <c r="P151" s="1034"/>
      <c r="Q151" s="1034"/>
      <c r="R151" s="1495"/>
      <c r="S151" s="1034"/>
      <c r="T151" s="1034"/>
      <c r="U151" s="471"/>
      <c r="V151" s="1034"/>
      <c r="W151" s="1034"/>
      <c r="X151" s="1034"/>
      <c r="Y151" s="1034"/>
      <c r="Z151" s="1034"/>
      <c r="AA151" s="1491"/>
      <c r="AB151" s="493"/>
      <c r="AC151" s="493"/>
      <c r="AD151" s="493"/>
      <c r="AE151" s="493"/>
    </row>
    <row r="152" spans="1:31" s="1708" customFormat="1" ht="11.25" customHeight="1">
      <c r="A152" s="880"/>
      <c r="B152" s="1495"/>
      <c r="C152" s="1495"/>
      <c r="D152" s="275"/>
      <c r="K152" s="1034"/>
      <c r="L152" s="1495"/>
      <c r="M152" s="1495"/>
      <c r="N152" s="1034"/>
      <c r="O152" s="1034"/>
      <c r="P152" s="1034"/>
      <c r="Q152" s="1034"/>
      <c r="R152" s="1495"/>
      <c r="S152" s="1034"/>
      <c r="T152" s="1034"/>
      <c r="U152" s="471"/>
      <c r="V152" s="1034"/>
      <c r="W152" s="1034"/>
      <c r="X152" s="1034"/>
      <c r="Y152" s="1034"/>
      <c r="Z152" s="1034"/>
      <c r="AA152" s="1491"/>
      <c r="AB152" s="493"/>
      <c r="AC152" s="493"/>
      <c r="AD152" s="493"/>
      <c r="AE152" s="493"/>
    </row>
    <row r="153" spans="1:31" s="1708" customFormat="1" ht="11.25" customHeight="1">
      <c r="A153" s="880"/>
      <c r="B153" s="1495"/>
      <c r="C153" s="1495"/>
      <c r="D153" s="275"/>
      <c r="K153" s="1034"/>
      <c r="L153" s="1495"/>
      <c r="M153" s="1495"/>
      <c r="N153" s="1034"/>
      <c r="O153" s="1034"/>
      <c r="P153" s="1034"/>
      <c r="Q153" s="1034"/>
      <c r="R153" s="1495"/>
      <c r="S153" s="1034"/>
      <c r="T153" s="1034"/>
      <c r="U153" s="471"/>
      <c r="V153" s="1034"/>
      <c r="W153" s="1034"/>
      <c r="X153" s="1034"/>
      <c r="Y153" s="1034"/>
      <c r="Z153" s="1034"/>
      <c r="AA153" s="1491"/>
      <c r="AB153" s="493"/>
      <c r="AC153" s="493"/>
      <c r="AD153" s="493"/>
      <c r="AE153" s="493"/>
    </row>
    <row r="154" spans="1:31" s="1708" customFormat="1" ht="11.25" customHeight="1">
      <c r="A154" s="880"/>
      <c r="B154" s="1495"/>
      <c r="C154" s="1495"/>
      <c r="D154" s="275"/>
      <c r="K154" s="1034"/>
      <c r="L154" s="1495"/>
      <c r="M154" s="1495"/>
      <c r="N154" s="1034"/>
      <c r="O154" s="1034"/>
      <c r="P154" s="1034"/>
      <c r="Q154" s="1034"/>
      <c r="R154" s="1495"/>
      <c r="S154" s="1034"/>
      <c r="T154" s="1034"/>
      <c r="U154" s="471"/>
      <c r="V154" s="1034"/>
      <c r="W154" s="1034"/>
      <c r="X154" s="1034"/>
      <c r="Y154" s="1034"/>
      <c r="Z154" s="1034"/>
      <c r="AA154" s="1491"/>
      <c r="AB154" s="493"/>
      <c r="AC154" s="493"/>
      <c r="AD154" s="493"/>
      <c r="AE154" s="493"/>
    </row>
    <row r="155" spans="1:31" s="1708" customFormat="1" ht="11.25" customHeight="1">
      <c r="A155" s="880"/>
      <c r="B155" s="1495"/>
      <c r="C155" s="1495"/>
      <c r="D155" s="275"/>
      <c r="K155" s="1034"/>
      <c r="L155" s="1495"/>
      <c r="M155" s="1495"/>
      <c r="N155" s="1034"/>
      <c r="O155" s="1034"/>
      <c r="P155" s="1034"/>
      <c r="Q155" s="1034"/>
      <c r="R155" s="1495"/>
      <c r="S155" s="1034"/>
      <c r="T155" s="1034"/>
      <c r="U155" s="471"/>
      <c r="V155" s="1034"/>
      <c r="W155" s="1034"/>
      <c r="X155" s="1034"/>
      <c r="Y155" s="1034"/>
      <c r="Z155" s="1034"/>
      <c r="AA155" s="1491"/>
      <c r="AB155" s="493"/>
      <c r="AC155" s="493"/>
      <c r="AD155" s="493"/>
      <c r="AE155" s="493"/>
    </row>
    <row r="156" spans="1:31" s="1708" customFormat="1" ht="11.25" customHeight="1">
      <c r="A156" s="880"/>
      <c r="B156" s="1495"/>
      <c r="C156" s="1495"/>
      <c r="D156" s="275"/>
      <c r="K156" s="1034"/>
      <c r="L156" s="1495"/>
      <c r="M156" s="1495"/>
      <c r="N156" s="1034"/>
      <c r="O156" s="1034"/>
      <c r="P156" s="1034"/>
      <c r="Q156" s="1034"/>
      <c r="R156" s="1495"/>
      <c r="S156" s="1034"/>
      <c r="T156" s="1034"/>
      <c r="U156" s="471"/>
      <c r="V156" s="1034"/>
      <c r="W156" s="1034"/>
      <c r="X156" s="1034"/>
      <c r="Y156" s="1034"/>
      <c r="Z156" s="1034"/>
      <c r="AA156" s="1491"/>
      <c r="AB156" s="493"/>
      <c r="AC156" s="493"/>
      <c r="AD156" s="493"/>
      <c r="AE156" s="493"/>
    </row>
    <row r="157" spans="1:31" s="1708" customFormat="1" ht="11.25" customHeight="1">
      <c r="A157" s="880"/>
      <c r="B157" s="1495"/>
      <c r="C157" s="1495"/>
      <c r="D157" s="275"/>
      <c r="K157" s="1034"/>
      <c r="L157" s="1495"/>
      <c r="M157" s="1495"/>
      <c r="N157" s="1034"/>
      <c r="O157" s="1034"/>
      <c r="P157" s="1034"/>
      <c r="Q157" s="1034"/>
      <c r="R157" s="1495"/>
      <c r="S157" s="1034"/>
      <c r="T157" s="1034"/>
      <c r="U157" s="471"/>
      <c r="V157" s="1034"/>
      <c r="W157" s="1034"/>
      <c r="X157" s="1034"/>
      <c r="Y157" s="1034"/>
      <c r="Z157" s="1034"/>
      <c r="AA157" s="1491"/>
      <c r="AB157" s="493"/>
      <c r="AC157" s="493"/>
      <c r="AD157" s="493"/>
      <c r="AE157" s="493"/>
    </row>
    <row r="158" spans="1:31" s="1708" customFormat="1" ht="11.25" customHeight="1">
      <c r="A158" s="880"/>
      <c r="B158" s="1495"/>
      <c r="C158" s="1495"/>
      <c r="D158" s="275"/>
      <c r="K158" s="1034"/>
      <c r="L158" s="1495"/>
      <c r="M158" s="1495"/>
      <c r="N158" s="1034"/>
      <c r="O158" s="1034"/>
      <c r="P158" s="1034"/>
      <c r="Q158" s="1034"/>
      <c r="R158" s="1495"/>
      <c r="S158" s="1034"/>
      <c r="T158" s="1034"/>
      <c r="U158" s="471"/>
      <c r="V158" s="1034"/>
      <c r="W158" s="1034"/>
      <c r="X158" s="1034"/>
      <c r="Y158" s="1034"/>
      <c r="Z158" s="1034"/>
      <c r="AA158" s="1491"/>
      <c r="AB158" s="493"/>
      <c r="AC158" s="493"/>
      <c r="AD158" s="493"/>
      <c r="AE158" s="493"/>
    </row>
    <row r="159" spans="1:31" s="1708" customFormat="1" ht="11.25" customHeight="1">
      <c r="A159" s="880"/>
      <c r="B159" s="1495"/>
      <c r="C159" s="1495"/>
      <c r="D159" s="275"/>
      <c r="K159" s="1034"/>
      <c r="L159" s="1495"/>
      <c r="M159" s="1495"/>
      <c r="N159" s="1034"/>
      <c r="O159" s="1034"/>
      <c r="P159" s="1034"/>
      <c r="Q159" s="1034"/>
      <c r="R159" s="1495"/>
      <c r="S159" s="1034"/>
      <c r="T159" s="1034"/>
      <c r="U159" s="471"/>
      <c r="V159" s="1034"/>
      <c r="W159" s="1034"/>
      <c r="X159" s="1034"/>
      <c r="Y159" s="1034"/>
      <c r="Z159" s="1034"/>
      <c r="AA159" s="1491"/>
      <c r="AB159" s="493"/>
      <c r="AC159" s="493"/>
      <c r="AD159" s="493"/>
      <c r="AE159" s="493"/>
    </row>
    <row r="160" spans="1:31" s="1708" customFormat="1" ht="11.25" customHeight="1">
      <c r="A160" s="880"/>
      <c r="B160" s="1495"/>
      <c r="C160" s="1495"/>
      <c r="D160" s="275"/>
      <c r="K160" s="1034"/>
      <c r="L160" s="1495"/>
      <c r="M160" s="1495"/>
      <c r="N160" s="1034"/>
      <c r="O160" s="1034"/>
      <c r="P160" s="1034"/>
      <c r="Q160" s="1034"/>
      <c r="R160" s="1495"/>
      <c r="S160" s="1034"/>
      <c r="T160" s="1034"/>
      <c r="U160" s="471"/>
      <c r="V160" s="1034"/>
      <c r="W160" s="1034"/>
      <c r="X160" s="1034"/>
      <c r="Y160" s="1034"/>
      <c r="Z160" s="1034"/>
      <c r="AA160" s="1491"/>
      <c r="AB160" s="493"/>
      <c r="AC160" s="493"/>
      <c r="AD160" s="493"/>
      <c r="AE160" s="493"/>
    </row>
    <row r="161" spans="1:31" s="1708" customFormat="1" ht="11.25" customHeight="1">
      <c r="A161" s="880"/>
      <c r="B161" s="1495"/>
      <c r="C161" s="1495"/>
      <c r="D161" s="275"/>
      <c r="K161" s="1034"/>
      <c r="L161" s="1495"/>
      <c r="M161" s="1495"/>
      <c r="N161" s="1034"/>
      <c r="O161" s="1034"/>
      <c r="P161" s="1034"/>
      <c r="Q161" s="1034"/>
      <c r="R161" s="1495"/>
      <c r="S161" s="1034"/>
      <c r="T161" s="1034"/>
      <c r="U161" s="471"/>
      <c r="V161" s="1034"/>
      <c r="W161" s="1034"/>
      <c r="X161" s="1034"/>
      <c r="Y161" s="1034"/>
      <c r="Z161" s="1034"/>
      <c r="AA161" s="1491"/>
      <c r="AB161" s="493"/>
      <c r="AC161" s="493"/>
      <c r="AD161" s="493"/>
      <c r="AE161" s="493"/>
    </row>
    <row r="162" spans="1:31" s="1708" customFormat="1" ht="11.25" customHeight="1">
      <c r="A162" s="880"/>
      <c r="B162" s="1495"/>
      <c r="C162" s="1495"/>
      <c r="D162" s="275"/>
      <c r="K162" s="1034"/>
      <c r="L162" s="1495"/>
      <c r="M162" s="1495"/>
      <c r="N162" s="1034"/>
      <c r="O162" s="1034"/>
      <c r="P162" s="1034"/>
      <c r="Q162" s="1034"/>
      <c r="R162" s="1495"/>
      <c r="S162" s="1034"/>
      <c r="T162" s="1034"/>
      <c r="U162" s="471"/>
      <c r="V162" s="1034"/>
      <c r="W162" s="1034"/>
      <c r="X162" s="1034"/>
      <c r="Y162" s="1034"/>
      <c r="Z162" s="1034"/>
      <c r="AA162" s="1491"/>
      <c r="AB162" s="493"/>
      <c r="AC162" s="493"/>
      <c r="AD162" s="493"/>
      <c r="AE162" s="493"/>
    </row>
    <row r="163" spans="1:31" s="1708" customFormat="1" ht="11.25" customHeight="1">
      <c r="A163" s="880"/>
      <c r="B163" s="1495"/>
      <c r="C163" s="1495"/>
      <c r="D163" s="275"/>
      <c r="K163" s="1034"/>
      <c r="L163" s="1495"/>
      <c r="M163" s="1495"/>
      <c r="N163" s="1034"/>
      <c r="O163" s="1034"/>
      <c r="P163" s="1034"/>
      <c r="Q163" s="1034"/>
      <c r="R163" s="1495"/>
      <c r="S163" s="1034"/>
      <c r="T163" s="1034"/>
      <c r="U163" s="471"/>
      <c r="V163" s="1034"/>
      <c r="W163" s="1034"/>
      <c r="X163" s="1034"/>
      <c r="Y163" s="1034"/>
      <c r="Z163" s="1034"/>
      <c r="AA163" s="1491"/>
      <c r="AB163" s="493"/>
      <c r="AC163" s="493"/>
      <c r="AD163" s="493"/>
      <c r="AE163" s="493"/>
    </row>
    <row r="164" spans="1:31" s="1708" customFormat="1" ht="11.25" customHeight="1">
      <c r="A164" s="880"/>
      <c r="B164" s="1495"/>
      <c r="C164" s="1495"/>
      <c r="D164" s="275"/>
      <c r="K164" s="1034"/>
      <c r="L164" s="1495"/>
      <c r="M164" s="1495"/>
      <c r="N164" s="1034"/>
      <c r="O164" s="1034"/>
      <c r="P164" s="1034"/>
      <c r="Q164" s="1034"/>
      <c r="R164" s="1495"/>
      <c r="S164" s="1034"/>
      <c r="T164" s="1034"/>
      <c r="U164" s="471"/>
      <c r="V164" s="1034"/>
      <c r="W164" s="1034"/>
      <c r="X164" s="1034"/>
      <c r="Y164" s="1034"/>
      <c r="Z164" s="1034"/>
      <c r="AA164" s="1491"/>
      <c r="AB164" s="493"/>
      <c r="AC164" s="493"/>
      <c r="AD164" s="493"/>
      <c r="AE164" s="493"/>
    </row>
    <row r="165" spans="1:31" s="1708" customFormat="1" ht="11.25" customHeight="1">
      <c r="A165" s="880"/>
      <c r="B165" s="1495"/>
      <c r="C165" s="1495"/>
      <c r="D165" s="275"/>
      <c r="K165" s="1034"/>
      <c r="L165" s="1495"/>
      <c r="M165" s="1495"/>
      <c r="N165" s="1034"/>
      <c r="O165" s="1034"/>
      <c r="P165" s="1034"/>
      <c r="Q165" s="1034"/>
      <c r="R165" s="1495"/>
      <c r="S165" s="1034"/>
      <c r="T165" s="1034"/>
      <c r="U165" s="471"/>
      <c r="V165" s="1034"/>
      <c r="W165" s="1034"/>
      <c r="X165" s="1034"/>
      <c r="Y165" s="1034"/>
      <c r="Z165" s="1034"/>
      <c r="AA165" s="1491"/>
      <c r="AB165" s="493"/>
      <c r="AC165" s="493"/>
      <c r="AD165" s="493"/>
      <c r="AE165" s="493"/>
    </row>
    <row r="166" spans="1:31" s="1708" customFormat="1" ht="11.25" customHeight="1">
      <c r="A166" s="880"/>
      <c r="B166" s="1495"/>
      <c r="C166" s="1495"/>
      <c r="D166" s="275"/>
      <c r="K166" s="1034"/>
      <c r="L166" s="1495"/>
      <c r="M166" s="1495"/>
      <c r="N166" s="1034"/>
      <c r="O166" s="1034"/>
      <c r="P166" s="1034"/>
      <c r="Q166" s="1034"/>
      <c r="R166" s="1495"/>
      <c r="S166" s="1034"/>
      <c r="T166" s="1034"/>
      <c r="U166" s="471"/>
      <c r="V166" s="1034"/>
      <c r="W166" s="1034"/>
      <c r="X166" s="1034"/>
      <c r="Y166" s="1034"/>
      <c r="Z166" s="1034"/>
      <c r="AA166" s="1491"/>
      <c r="AB166" s="493"/>
      <c r="AC166" s="493"/>
      <c r="AD166" s="493"/>
      <c r="AE166" s="493"/>
    </row>
    <row r="167" spans="1:31" s="1708" customFormat="1" ht="11.25" customHeight="1">
      <c r="A167" s="880"/>
      <c r="B167" s="1495"/>
      <c r="C167" s="1495"/>
      <c r="D167" s="275"/>
      <c r="K167" s="1034"/>
      <c r="L167" s="1495"/>
      <c r="M167" s="1495"/>
      <c r="N167" s="1034"/>
      <c r="O167" s="1034"/>
      <c r="P167" s="1034"/>
      <c r="Q167" s="1034"/>
      <c r="R167" s="1495"/>
      <c r="S167" s="1034"/>
      <c r="T167" s="1034"/>
      <c r="U167" s="471"/>
      <c r="V167" s="1034"/>
      <c r="W167" s="1034"/>
      <c r="X167" s="1034"/>
      <c r="Y167" s="1034"/>
      <c r="Z167" s="1034"/>
      <c r="AA167" s="1491"/>
      <c r="AB167" s="493"/>
      <c r="AC167" s="493"/>
      <c r="AD167" s="493"/>
      <c r="AE167" s="493"/>
    </row>
    <row r="168" spans="1:31" s="1708" customFormat="1" ht="11.25" customHeight="1">
      <c r="A168" s="880"/>
      <c r="B168" s="1495"/>
      <c r="C168" s="1495"/>
      <c r="D168" s="275"/>
      <c r="K168" s="1034"/>
      <c r="L168" s="1495"/>
      <c r="M168" s="1495"/>
      <c r="N168" s="1034"/>
      <c r="O168" s="1034"/>
      <c r="P168" s="1034"/>
      <c r="Q168" s="1034"/>
      <c r="R168" s="1495"/>
      <c r="S168" s="1034"/>
      <c r="T168" s="1034"/>
      <c r="U168" s="471"/>
      <c r="V168" s="1034"/>
      <c r="W168" s="1034"/>
      <c r="X168" s="1034"/>
      <c r="Y168" s="1034"/>
      <c r="Z168" s="1034"/>
      <c r="AA168" s="1491"/>
      <c r="AB168" s="493"/>
      <c r="AC168" s="493"/>
      <c r="AD168" s="493"/>
      <c r="AE168" s="493"/>
    </row>
    <row r="169" spans="1:31" s="1708" customFormat="1" ht="11.25" customHeight="1">
      <c r="A169" s="880"/>
      <c r="B169" s="1495"/>
      <c r="C169" s="1495"/>
      <c r="D169" s="275"/>
      <c r="K169" s="1034"/>
      <c r="L169" s="1495"/>
      <c r="M169" s="1495"/>
      <c r="N169" s="1034"/>
      <c r="O169" s="1034"/>
      <c r="P169" s="1034"/>
      <c r="Q169" s="1034"/>
      <c r="R169" s="1495"/>
      <c r="S169" s="1034"/>
      <c r="T169" s="1034"/>
      <c r="U169" s="471"/>
      <c r="V169" s="1034"/>
      <c r="W169" s="1034"/>
      <c r="X169" s="1034"/>
      <c r="Y169" s="1034"/>
      <c r="Z169" s="1034"/>
      <c r="AA169" s="1491"/>
      <c r="AB169" s="493"/>
      <c r="AC169" s="493"/>
      <c r="AD169" s="493"/>
      <c r="AE169" s="493"/>
    </row>
    <row r="170" spans="1:31" s="1708" customFormat="1" ht="11.25" customHeight="1">
      <c r="A170" s="880"/>
      <c r="B170" s="1495"/>
      <c r="C170" s="1495"/>
      <c r="D170" s="275"/>
      <c r="K170" s="1034"/>
      <c r="L170" s="1495"/>
      <c r="M170" s="1495"/>
      <c r="N170" s="1034"/>
      <c r="O170" s="1034"/>
      <c r="P170" s="1034"/>
      <c r="Q170" s="1034"/>
      <c r="R170" s="1495"/>
      <c r="S170" s="1034"/>
      <c r="T170" s="1034"/>
      <c r="U170" s="471"/>
      <c r="V170" s="1034"/>
      <c r="W170" s="1034"/>
      <c r="X170" s="1034"/>
      <c r="Y170" s="1034"/>
      <c r="Z170" s="1034"/>
      <c r="AA170" s="1491"/>
      <c r="AB170" s="493"/>
      <c r="AC170" s="493"/>
      <c r="AD170" s="493"/>
      <c r="AE170" s="493"/>
    </row>
    <row r="171" spans="1:31" s="1708" customFormat="1" ht="11.25" customHeight="1">
      <c r="A171" s="880"/>
      <c r="B171" s="1495"/>
      <c r="C171" s="1495"/>
      <c r="D171" s="275"/>
      <c r="K171" s="1034"/>
      <c r="L171" s="1495"/>
      <c r="M171" s="1495"/>
      <c r="N171" s="1034"/>
      <c r="O171" s="1034"/>
      <c r="P171" s="1034"/>
      <c r="Q171" s="1034"/>
      <c r="R171" s="1495"/>
      <c r="S171" s="1034"/>
      <c r="T171" s="1034"/>
      <c r="U171" s="471"/>
      <c r="V171" s="1034"/>
      <c r="W171" s="1034"/>
      <c r="X171" s="1034"/>
      <c r="Y171" s="1034"/>
      <c r="Z171" s="1034"/>
      <c r="AA171" s="1491"/>
      <c r="AB171" s="493"/>
      <c r="AC171" s="493"/>
      <c r="AD171" s="493"/>
      <c r="AE171" s="493"/>
    </row>
    <row r="172" spans="1:31" s="1708" customFormat="1" ht="11.25" customHeight="1">
      <c r="A172" s="880"/>
      <c r="B172" s="1495"/>
      <c r="C172" s="1495"/>
      <c r="D172" s="275"/>
      <c r="K172" s="1034"/>
      <c r="L172" s="1495"/>
      <c r="M172" s="1495"/>
      <c r="N172" s="1034"/>
      <c r="O172" s="1034"/>
      <c r="P172" s="1034"/>
      <c r="Q172" s="1034"/>
      <c r="R172" s="1495"/>
      <c r="S172" s="1034"/>
      <c r="T172" s="1034"/>
      <c r="U172" s="471"/>
      <c r="V172" s="1034"/>
      <c r="W172" s="1034"/>
      <c r="X172" s="1034"/>
      <c r="Y172" s="1034"/>
      <c r="Z172" s="1034"/>
      <c r="AA172" s="1491"/>
      <c r="AB172" s="493"/>
      <c r="AC172" s="493"/>
      <c r="AD172" s="493"/>
      <c r="AE172" s="493"/>
    </row>
    <row r="173" spans="1:31" s="1708" customFormat="1" ht="11.25" customHeight="1">
      <c r="A173" s="880"/>
      <c r="B173" s="1495"/>
      <c r="C173" s="1495"/>
      <c r="D173" s="275"/>
      <c r="K173" s="1034"/>
      <c r="L173" s="1495"/>
      <c r="M173" s="1495"/>
      <c r="N173" s="1034"/>
      <c r="O173" s="1034"/>
      <c r="P173" s="1034"/>
      <c r="Q173" s="1034"/>
      <c r="R173" s="1495"/>
      <c r="S173" s="1034"/>
      <c r="T173" s="1034"/>
      <c r="U173" s="471"/>
      <c r="V173" s="1034"/>
      <c r="W173" s="1034"/>
      <c r="X173" s="1034"/>
      <c r="Y173" s="1034"/>
      <c r="Z173" s="1034"/>
      <c r="AA173" s="1491"/>
      <c r="AB173" s="493"/>
      <c r="AC173" s="493"/>
      <c r="AD173" s="493"/>
      <c r="AE173" s="493"/>
    </row>
    <row r="174" spans="1:31" s="1708" customFormat="1" ht="11.25" customHeight="1">
      <c r="A174" s="880"/>
      <c r="B174" s="1495"/>
      <c r="C174" s="1495"/>
      <c r="D174" s="275"/>
      <c r="K174" s="1034"/>
      <c r="L174" s="1495"/>
      <c r="M174" s="1495"/>
      <c r="N174" s="1034"/>
      <c r="O174" s="1034"/>
      <c r="P174" s="1034"/>
      <c r="Q174" s="1034"/>
      <c r="R174" s="1495"/>
      <c r="S174" s="1034"/>
      <c r="T174" s="1034"/>
      <c r="U174" s="471"/>
      <c r="V174" s="1034"/>
      <c r="W174" s="1034"/>
      <c r="X174" s="1034"/>
      <c r="Y174" s="1034"/>
      <c r="Z174" s="1034"/>
      <c r="AA174" s="1491"/>
      <c r="AB174" s="493"/>
      <c r="AC174" s="493"/>
      <c r="AD174" s="493"/>
      <c r="AE174" s="493"/>
    </row>
    <row r="175" spans="1:31" s="1708" customFormat="1" ht="11.25" customHeight="1">
      <c r="A175" s="880"/>
      <c r="B175" s="1495"/>
      <c r="C175" s="1495"/>
      <c r="D175" s="275"/>
      <c r="K175" s="1034"/>
      <c r="L175" s="1495"/>
      <c r="M175" s="1495"/>
      <c r="N175" s="1034"/>
      <c r="O175" s="1034"/>
      <c r="P175" s="1034"/>
      <c r="Q175" s="1034"/>
      <c r="R175" s="1495"/>
      <c r="S175" s="1034"/>
      <c r="T175" s="1034"/>
      <c r="U175" s="471"/>
      <c r="V175" s="1034"/>
      <c r="W175" s="1034"/>
      <c r="X175" s="1034"/>
      <c r="Y175" s="1034"/>
      <c r="Z175" s="1034"/>
      <c r="AA175" s="1491"/>
      <c r="AB175" s="493"/>
      <c r="AC175" s="493"/>
      <c r="AD175" s="493"/>
      <c r="AE175" s="493"/>
    </row>
    <row r="176" spans="1:31" s="1708" customFormat="1" ht="11.25" customHeight="1">
      <c r="A176" s="880"/>
      <c r="B176" s="1495"/>
      <c r="C176" s="1495"/>
      <c r="D176" s="275"/>
      <c r="K176" s="1034"/>
      <c r="L176" s="1495"/>
      <c r="M176" s="1495"/>
      <c r="N176" s="1034"/>
      <c r="O176" s="1034"/>
      <c r="P176" s="1034"/>
      <c r="Q176" s="1034"/>
      <c r="R176" s="1495"/>
      <c r="S176" s="1034"/>
      <c r="T176" s="1034"/>
      <c r="U176" s="471"/>
      <c r="V176" s="1034"/>
      <c r="W176" s="1034"/>
      <c r="X176" s="1034"/>
      <c r="Y176" s="1034"/>
      <c r="Z176" s="1034"/>
      <c r="AA176" s="1491"/>
      <c r="AB176" s="493"/>
      <c r="AC176" s="493"/>
      <c r="AD176" s="493"/>
      <c r="AE176" s="493"/>
    </row>
    <row r="177" spans="1:31" s="1708" customFormat="1" ht="11.25" customHeight="1">
      <c r="A177" s="880"/>
      <c r="B177" s="1495"/>
      <c r="C177" s="1495"/>
      <c r="D177" s="275"/>
      <c r="K177" s="1034"/>
      <c r="L177" s="1495"/>
      <c r="M177" s="1495"/>
      <c r="N177" s="1034"/>
      <c r="O177" s="1034"/>
      <c r="P177" s="1034"/>
      <c r="Q177" s="1034"/>
      <c r="R177" s="1495"/>
      <c r="S177" s="1034"/>
      <c r="T177" s="1034"/>
      <c r="U177" s="471"/>
      <c r="V177" s="1034"/>
      <c r="W177" s="1034"/>
      <c r="X177" s="1034"/>
      <c r="Y177" s="1034"/>
      <c r="Z177" s="1034"/>
      <c r="AA177" s="1491"/>
      <c r="AB177" s="493"/>
      <c r="AC177" s="493"/>
      <c r="AD177" s="493"/>
      <c r="AE177" s="493"/>
    </row>
    <row r="178" spans="1:31" s="1708" customFormat="1" ht="11.25" customHeight="1">
      <c r="A178" s="880"/>
      <c r="B178" s="1495"/>
      <c r="C178" s="1495"/>
      <c r="D178" s="275"/>
      <c r="K178" s="1034"/>
      <c r="L178" s="1495"/>
      <c r="M178" s="1495"/>
      <c r="N178" s="1034"/>
      <c r="O178" s="1034"/>
      <c r="P178" s="1034"/>
      <c r="Q178" s="1034"/>
      <c r="R178" s="1495"/>
      <c r="S178" s="1034"/>
      <c r="T178" s="1034"/>
      <c r="U178" s="471"/>
      <c r="V178" s="1034"/>
      <c r="W178" s="1034"/>
      <c r="X178" s="1034"/>
      <c r="Y178" s="1034"/>
      <c r="Z178" s="1034"/>
      <c r="AA178" s="1491"/>
      <c r="AB178" s="493"/>
      <c r="AC178" s="493"/>
      <c r="AD178" s="493"/>
      <c r="AE178" s="493"/>
    </row>
    <row r="179" spans="1:31" s="1708" customFormat="1" ht="11.25" customHeight="1">
      <c r="A179" s="880"/>
      <c r="B179" s="1495"/>
      <c r="C179" s="1495"/>
      <c r="D179" s="275"/>
      <c r="K179" s="1034"/>
      <c r="L179" s="1495"/>
      <c r="M179" s="1495"/>
      <c r="N179" s="1034"/>
      <c r="O179" s="1034"/>
      <c r="P179" s="1034"/>
      <c r="Q179" s="1034"/>
      <c r="R179" s="1495"/>
      <c r="S179" s="1034"/>
      <c r="T179" s="1034"/>
      <c r="U179" s="471"/>
      <c r="V179" s="1034"/>
      <c r="W179" s="1034"/>
      <c r="X179" s="1034"/>
      <c r="Y179" s="1034"/>
      <c r="Z179" s="1034"/>
      <c r="AA179" s="1491"/>
      <c r="AB179" s="493"/>
      <c r="AC179" s="493"/>
      <c r="AD179" s="493"/>
      <c r="AE179" s="493"/>
    </row>
    <row r="180" spans="1:31" s="1708" customFormat="1" ht="11.25" customHeight="1">
      <c r="A180" s="880"/>
      <c r="B180" s="1495"/>
      <c r="C180" s="1495"/>
      <c r="D180" s="275"/>
      <c r="K180" s="1034"/>
      <c r="L180" s="1495"/>
      <c r="M180" s="1495"/>
      <c r="N180" s="1034"/>
      <c r="O180" s="1034"/>
      <c r="P180" s="1034"/>
      <c r="Q180" s="1034"/>
      <c r="R180" s="1495"/>
      <c r="S180" s="1034"/>
      <c r="T180" s="1034"/>
      <c r="U180" s="471"/>
      <c r="V180" s="1034"/>
      <c r="W180" s="1034"/>
      <c r="X180" s="1034"/>
      <c r="Y180" s="1034"/>
      <c r="Z180" s="1034"/>
      <c r="AA180" s="1491"/>
      <c r="AB180" s="493"/>
      <c r="AC180" s="493"/>
      <c r="AD180" s="493"/>
      <c r="AE180" s="493"/>
    </row>
    <row r="181" spans="1:31" s="1708" customFormat="1" ht="11.25" customHeight="1">
      <c r="A181" s="880"/>
      <c r="B181" s="1495"/>
      <c r="C181" s="1495"/>
      <c r="D181" s="275"/>
      <c r="K181" s="1034"/>
      <c r="L181" s="1495"/>
      <c r="M181" s="1495"/>
      <c r="N181" s="1034"/>
      <c r="O181" s="1034"/>
      <c r="P181" s="1034"/>
      <c r="Q181" s="1034"/>
      <c r="R181" s="1495"/>
      <c r="S181" s="1034"/>
      <c r="T181" s="1034"/>
      <c r="U181" s="471"/>
      <c r="V181" s="1034"/>
      <c r="W181" s="1034"/>
      <c r="X181" s="1034"/>
      <c r="Y181" s="1034"/>
      <c r="Z181" s="1034"/>
      <c r="AA181" s="1491"/>
      <c r="AB181" s="493"/>
      <c r="AC181" s="493"/>
      <c r="AD181" s="493"/>
      <c r="AE181" s="493"/>
    </row>
    <row r="182" spans="1:31" s="1708" customFormat="1" ht="11.25" customHeight="1">
      <c r="A182" s="880"/>
      <c r="B182" s="1495"/>
      <c r="C182" s="1495"/>
      <c r="D182" s="275"/>
      <c r="K182" s="1034"/>
      <c r="L182" s="1495"/>
      <c r="M182" s="1495"/>
      <c r="N182" s="1034"/>
      <c r="O182" s="1034"/>
      <c r="P182" s="1034"/>
      <c r="Q182" s="1034"/>
      <c r="R182" s="1495"/>
      <c r="S182" s="1034"/>
      <c r="T182" s="1034"/>
      <c r="U182" s="471"/>
      <c r="V182" s="1034"/>
      <c r="W182" s="1034"/>
      <c r="X182" s="1034"/>
      <c r="Y182" s="1034"/>
      <c r="Z182" s="1034"/>
      <c r="AA182" s="1491"/>
      <c r="AB182" s="493"/>
      <c r="AC182" s="493"/>
      <c r="AD182" s="493"/>
      <c r="AE182" s="493"/>
    </row>
    <row r="183" spans="1:31" s="1708" customFormat="1" ht="11.25" customHeight="1">
      <c r="A183" s="880"/>
      <c r="B183" s="1495"/>
      <c r="C183" s="1495"/>
      <c r="D183" s="275"/>
      <c r="K183" s="1034"/>
      <c r="L183" s="1495"/>
      <c r="M183" s="1495"/>
      <c r="N183" s="1034"/>
      <c r="O183" s="1034"/>
      <c r="P183" s="1034"/>
      <c r="Q183" s="1034"/>
      <c r="R183" s="1495"/>
      <c r="S183" s="1034"/>
      <c r="T183" s="1034"/>
      <c r="U183" s="471"/>
      <c r="V183" s="1034"/>
      <c r="W183" s="1034"/>
      <c r="X183" s="1034"/>
      <c r="Y183" s="1034"/>
      <c r="Z183" s="1034"/>
      <c r="AA183" s="1491"/>
      <c r="AB183" s="493"/>
      <c r="AC183" s="493"/>
      <c r="AD183" s="493"/>
      <c r="AE183" s="493"/>
    </row>
    <row r="184" spans="1:31" s="1708" customFormat="1" ht="11.25" customHeight="1">
      <c r="A184" s="880"/>
      <c r="B184" s="1495"/>
      <c r="C184" s="1495"/>
      <c r="D184" s="275"/>
      <c r="K184" s="1034"/>
      <c r="L184" s="1495"/>
      <c r="M184" s="1495"/>
      <c r="N184" s="1034"/>
      <c r="O184" s="1034"/>
      <c r="P184" s="1034"/>
      <c r="Q184" s="1034"/>
      <c r="R184" s="1495"/>
      <c r="S184" s="1034"/>
      <c r="T184" s="1034"/>
      <c r="U184" s="471"/>
      <c r="V184" s="1034"/>
      <c r="W184" s="1034"/>
      <c r="X184" s="1034"/>
      <c r="Y184" s="1034"/>
      <c r="Z184" s="1034"/>
      <c r="AA184" s="1491"/>
      <c r="AB184" s="493"/>
      <c r="AC184" s="493"/>
      <c r="AD184" s="493"/>
      <c r="AE184" s="493"/>
    </row>
    <row r="185" spans="1:31" s="1708" customFormat="1" ht="11.25" customHeight="1">
      <c r="A185" s="880"/>
      <c r="B185" s="1495"/>
      <c r="C185" s="1495"/>
      <c r="D185" s="275"/>
      <c r="K185" s="1034"/>
      <c r="L185" s="1495"/>
      <c r="M185" s="1495"/>
      <c r="N185" s="1034"/>
      <c r="O185" s="1034"/>
      <c r="P185" s="1034"/>
      <c r="Q185" s="1034"/>
      <c r="R185" s="1495"/>
      <c r="S185" s="1034"/>
      <c r="T185" s="1034"/>
      <c r="U185" s="471"/>
      <c r="V185" s="1034"/>
      <c r="W185" s="1034"/>
      <c r="X185" s="1034"/>
      <c r="Y185" s="1034"/>
      <c r="Z185" s="1034"/>
      <c r="AA185" s="1491"/>
      <c r="AB185" s="493"/>
      <c r="AC185" s="493"/>
      <c r="AD185" s="493"/>
      <c r="AE185" s="493"/>
    </row>
    <row r="186" spans="1:31" s="1708" customFormat="1" ht="11.25" customHeight="1">
      <c r="A186" s="880"/>
      <c r="B186" s="1495"/>
      <c r="C186" s="1495"/>
      <c r="D186" s="275"/>
      <c r="K186" s="1034"/>
      <c r="L186" s="1495"/>
      <c r="M186" s="1495"/>
      <c r="N186" s="1034"/>
      <c r="O186" s="1034"/>
      <c r="P186" s="1034"/>
      <c r="Q186" s="1034"/>
      <c r="R186" s="1495"/>
      <c r="S186" s="1034"/>
      <c r="T186" s="1034"/>
      <c r="U186" s="471"/>
      <c r="V186" s="1034"/>
      <c r="W186" s="1034"/>
      <c r="X186" s="1034"/>
      <c r="Y186" s="1034"/>
      <c r="Z186" s="1034"/>
      <c r="AA186" s="1491"/>
      <c r="AB186" s="493"/>
      <c r="AC186" s="493"/>
      <c r="AD186" s="493"/>
      <c r="AE186" s="493"/>
    </row>
    <row r="187" spans="1:31" s="1708" customFormat="1" ht="11.25" customHeight="1">
      <c r="A187" s="880"/>
      <c r="B187" s="1495"/>
      <c r="C187" s="1495"/>
      <c r="D187" s="275"/>
      <c r="K187" s="1034"/>
      <c r="L187" s="1495"/>
      <c r="M187" s="1495"/>
      <c r="N187" s="1034"/>
      <c r="O187" s="1034"/>
      <c r="P187" s="1034"/>
      <c r="Q187" s="1034"/>
      <c r="R187" s="1495"/>
      <c r="S187" s="1034"/>
      <c r="T187" s="1034"/>
      <c r="U187" s="471"/>
      <c r="V187" s="1034"/>
      <c r="W187" s="1034"/>
      <c r="X187" s="1034"/>
      <c r="Y187" s="1034"/>
      <c r="Z187" s="1034"/>
      <c r="AA187" s="1491"/>
      <c r="AB187" s="493"/>
      <c r="AC187" s="493"/>
      <c r="AD187" s="493"/>
      <c r="AE187" s="493"/>
    </row>
    <row r="188" spans="1:31" s="1708" customFormat="1" ht="11.25" customHeight="1">
      <c r="A188" s="880"/>
      <c r="B188" s="1495"/>
      <c r="C188" s="1495"/>
      <c r="D188" s="275"/>
      <c r="K188" s="1034"/>
      <c r="L188" s="1495"/>
      <c r="M188" s="1495"/>
      <c r="N188" s="1034"/>
      <c r="O188" s="1034"/>
      <c r="P188" s="1034"/>
      <c r="Q188" s="1034"/>
      <c r="R188" s="1495"/>
      <c r="S188" s="1034"/>
      <c r="T188" s="1034"/>
      <c r="U188" s="471"/>
      <c r="V188" s="1034"/>
      <c r="W188" s="1034"/>
      <c r="X188" s="1034"/>
      <c r="Y188" s="1034"/>
      <c r="Z188" s="1034"/>
      <c r="AA188" s="1491"/>
      <c r="AB188" s="493"/>
      <c r="AC188" s="493"/>
      <c r="AD188" s="493"/>
      <c r="AE188" s="493"/>
    </row>
    <row r="189" spans="1:31" s="1708" customFormat="1" ht="11.25" customHeight="1">
      <c r="A189" s="880"/>
      <c r="B189" s="1495"/>
      <c r="C189" s="1495"/>
      <c r="D189" s="275"/>
      <c r="K189" s="1034"/>
      <c r="L189" s="1495"/>
      <c r="M189" s="1495"/>
      <c r="N189" s="1034"/>
      <c r="O189" s="1034"/>
      <c r="P189" s="1034"/>
      <c r="Q189" s="1034"/>
      <c r="R189" s="1495"/>
      <c r="S189" s="1034"/>
      <c r="T189" s="1034"/>
      <c r="U189" s="471"/>
      <c r="V189" s="1034"/>
      <c r="W189" s="1034"/>
      <c r="X189" s="1034"/>
      <c r="Y189" s="1034"/>
      <c r="Z189" s="1034"/>
      <c r="AA189" s="1491"/>
      <c r="AB189" s="493"/>
      <c r="AC189" s="493"/>
      <c r="AD189" s="493"/>
      <c r="AE189" s="493"/>
    </row>
    <row r="190" spans="1:31" s="1708" customFormat="1" ht="11.25" customHeight="1">
      <c r="A190" s="880"/>
      <c r="B190" s="1495"/>
      <c r="C190" s="1495"/>
      <c r="D190" s="275"/>
      <c r="K190" s="1034"/>
      <c r="L190" s="1495"/>
      <c r="M190" s="1495"/>
      <c r="N190" s="1034"/>
      <c r="O190" s="1034"/>
      <c r="P190" s="1034"/>
      <c r="Q190" s="1034"/>
      <c r="R190" s="1495"/>
      <c r="S190" s="1034"/>
      <c r="T190" s="1034"/>
      <c r="U190" s="471"/>
      <c r="V190" s="1034"/>
      <c r="W190" s="1034"/>
      <c r="X190" s="1034"/>
      <c r="Y190" s="1034"/>
      <c r="Z190" s="1034"/>
      <c r="AA190" s="1491"/>
      <c r="AB190" s="493"/>
      <c r="AC190" s="493"/>
      <c r="AD190" s="493"/>
      <c r="AE190" s="493"/>
    </row>
    <row r="191" spans="1:31" s="1708" customFormat="1" ht="11.25" customHeight="1">
      <c r="A191" s="880"/>
      <c r="B191" s="1495"/>
      <c r="C191" s="1495"/>
      <c r="D191" s="275"/>
      <c r="K191" s="1034"/>
      <c r="L191" s="1495"/>
      <c r="M191" s="1495"/>
      <c r="N191" s="1034"/>
      <c r="O191" s="1034"/>
      <c r="P191" s="1034"/>
      <c r="Q191" s="1034"/>
      <c r="R191" s="1495"/>
      <c r="S191" s="1034"/>
      <c r="T191" s="1034"/>
      <c r="U191" s="471"/>
      <c r="V191" s="1034"/>
      <c r="W191" s="1034"/>
      <c r="X191" s="1034"/>
      <c r="Y191" s="1034"/>
      <c r="Z191" s="1034"/>
      <c r="AA191" s="1491"/>
      <c r="AB191" s="493"/>
      <c r="AC191" s="493"/>
      <c r="AD191" s="493"/>
      <c r="AE191" s="493"/>
    </row>
    <row r="192" spans="1:31" s="1708" customFormat="1" ht="11.25" customHeight="1">
      <c r="A192" s="880"/>
      <c r="B192" s="1495"/>
      <c r="C192" s="1495"/>
      <c r="D192" s="275"/>
      <c r="K192" s="1034"/>
      <c r="L192" s="1495"/>
      <c r="M192" s="1495"/>
      <c r="N192" s="1034"/>
      <c r="O192" s="1034"/>
      <c r="P192" s="1034"/>
      <c r="Q192" s="1034"/>
      <c r="R192" s="1495"/>
      <c r="S192" s="1034"/>
      <c r="T192" s="1034"/>
      <c r="U192" s="471"/>
      <c r="V192" s="1034"/>
      <c r="W192" s="1034"/>
      <c r="X192" s="1034"/>
      <c r="Y192" s="1034"/>
      <c r="Z192" s="1034"/>
      <c r="AA192" s="1491"/>
      <c r="AB192" s="493"/>
      <c r="AC192" s="493"/>
      <c r="AD192" s="493"/>
      <c r="AE192" s="493"/>
    </row>
    <row r="193" spans="1:31" s="1708" customFormat="1" ht="11.25" customHeight="1">
      <c r="A193" s="880"/>
      <c r="B193" s="1495"/>
      <c r="C193" s="1495"/>
      <c r="D193" s="275"/>
      <c r="K193" s="1034"/>
      <c r="L193" s="1495"/>
      <c r="M193" s="1495"/>
      <c r="N193" s="1034"/>
      <c r="O193" s="1034"/>
      <c r="P193" s="1034"/>
      <c r="Q193" s="1034"/>
      <c r="R193" s="1495"/>
      <c r="S193" s="1034"/>
      <c r="T193" s="1034"/>
      <c r="U193" s="471"/>
      <c r="V193" s="1034"/>
      <c r="W193" s="1034"/>
      <c r="X193" s="1034"/>
      <c r="Y193" s="1034"/>
      <c r="Z193" s="1034"/>
      <c r="AA193" s="1491"/>
      <c r="AB193" s="493"/>
      <c r="AC193" s="493"/>
      <c r="AD193" s="493"/>
      <c r="AE193" s="493"/>
    </row>
    <row r="194" spans="1:31" s="1708" customFormat="1" ht="11.25" customHeight="1">
      <c r="A194" s="880"/>
      <c r="B194" s="1495"/>
      <c r="C194" s="1495"/>
      <c r="D194" s="275"/>
      <c r="K194" s="1034"/>
      <c r="L194" s="1495"/>
      <c r="M194" s="1495"/>
      <c r="N194" s="1034"/>
      <c r="O194" s="1034"/>
      <c r="P194" s="1034"/>
      <c r="Q194" s="1034"/>
      <c r="R194" s="1495"/>
      <c r="S194" s="1034"/>
      <c r="T194" s="1034"/>
      <c r="U194" s="471"/>
      <c r="V194" s="1034"/>
      <c r="W194" s="1034"/>
      <c r="X194" s="1034"/>
      <c r="Y194" s="1034"/>
      <c r="Z194" s="1034"/>
      <c r="AA194" s="1491"/>
      <c r="AB194" s="493"/>
      <c r="AC194" s="493"/>
      <c r="AD194" s="493"/>
      <c r="AE194" s="493"/>
    </row>
    <row r="195" spans="1:31" s="1708" customFormat="1" ht="11.25" customHeight="1">
      <c r="A195" s="880"/>
      <c r="B195" s="1495"/>
      <c r="C195" s="1495"/>
      <c r="D195" s="275"/>
      <c r="K195" s="1034"/>
      <c r="L195" s="1495"/>
      <c r="M195" s="1495"/>
      <c r="N195" s="1034"/>
      <c r="O195" s="1034"/>
      <c r="P195" s="1034"/>
      <c r="Q195" s="1034"/>
      <c r="R195" s="1495"/>
      <c r="S195" s="1034"/>
      <c r="T195" s="1034"/>
      <c r="U195" s="471"/>
      <c r="V195" s="1034"/>
      <c r="W195" s="1034"/>
      <c r="X195" s="1034"/>
      <c r="Y195" s="1034"/>
      <c r="Z195" s="1034"/>
      <c r="AA195" s="1491"/>
      <c r="AB195" s="493"/>
      <c r="AC195" s="493"/>
      <c r="AD195" s="493"/>
      <c r="AE195" s="493"/>
    </row>
    <row r="199" spans="1:31" ht="11.25" customHeight="1">
      <c r="A199" s="883"/>
      <c r="B199" s="1490"/>
      <c r="D199" s="1490"/>
      <c r="K199" s="1490"/>
      <c r="N199" s="1490"/>
      <c r="O199" s="1490"/>
      <c r="P199" s="1490"/>
      <c r="Q199" s="1490"/>
      <c r="S199" s="1490"/>
      <c r="T199" s="1490"/>
      <c r="U199" s="1490"/>
      <c r="V199" s="1490"/>
      <c r="W199" s="1490"/>
      <c r="X199" s="1490"/>
      <c r="Y199" s="1490"/>
      <c r="Z199" s="1490"/>
      <c r="AA199" s="1490"/>
      <c r="AB199" s="1490"/>
      <c r="AC199" s="1490"/>
      <c r="AD199" s="1490"/>
      <c r="AE199" s="1490"/>
    </row>
    <row r="200" spans="1:31" ht="11.25" customHeight="1">
      <c r="A200" s="883"/>
      <c r="B200" s="1490"/>
      <c r="D200" s="1490"/>
      <c r="K200" s="1490"/>
      <c r="N200" s="1490"/>
      <c r="O200" s="1490"/>
      <c r="P200" s="1490"/>
      <c r="Q200" s="1490"/>
      <c r="S200" s="1490"/>
      <c r="T200" s="1490"/>
      <c r="U200" s="1490"/>
      <c r="V200" s="1490"/>
      <c r="W200" s="1490"/>
      <c r="X200" s="1490"/>
      <c r="Y200" s="1490"/>
      <c r="Z200" s="1490"/>
      <c r="AA200" s="1490"/>
      <c r="AB200" s="1490"/>
      <c r="AC200" s="1490"/>
      <c r="AD200" s="1490"/>
      <c r="AE200" s="1490"/>
    </row>
    <row r="201" spans="1:31" ht="11.25" customHeight="1">
      <c r="A201" s="883"/>
      <c r="B201" s="1490"/>
      <c r="D201" s="1490"/>
      <c r="K201" s="1490"/>
      <c r="N201" s="1490"/>
      <c r="O201" s="1490"/>
      <c r="P201" s="1490"/>
      <c r="Q201" s="1490"/>
      <c r="S201" s="1490"/>
      <c r="T201" s="1490"/>
      <c r="U201" s="1490"/>
      <c r="V201" s="1490"/>
      <c r="W201" s="1490"/>
      <c r="X201" s="1490"/>
      <c r="Y201" s="1490"/>
      <c r="Z201" s="1490"/>
      <c r="AA201" s="1490"/>
      <c r="AB201" s="1490"/>
      <c r="AC201" s="1490"/>
      <c r="AD201" s="1490"/>
      <c r="AE201" s="1490"/>
    </row>
    <row r="202" spans="1:31" ht="11.25" customHeight="1">
      <c r="A202" s="883"/>
      <c r="B202" s="1490"/>
      <c r="D202" s="1490"/>
      <c r="K202" s="1490"/>
      <c r="N202" s="1490"/>
      <c r="O202" s="1490"/>
      <c r="P202" s="1490"/>
      <c r="Q202" s="1490"/>
      <c r="S202" s="1490"/>
      <c r="T202" s="1490"/>
      <c r="U202" s="1490"/>
      <c r="V202" s="1490"/>
      <c r="W202" s="1490"/>
      <c r="X202" s="1490"/>
      <c r="Y202" s="1490"/>
      <c r="Z202" s="1490"/>
      <c r="AA202" s="1490"/>
      <c r="AB202" s="1490"/>
      <c r="AC202" s="1490"/>
      <c r="AD202" s="1490"/>
      <c r="AE202" s="1490"/>
    </row>
    <row r="203" spans="1:31" ht="11.25" customHeight="1">
      <c r="A203" s="883"/>
      <c r="B203" s="1490"/>
      <c r="D203" s="1490"/>
      <c r="K203" s="1490"/>
      <c r="N203" s="1490"/>
      <c r="O203" s="1490"/>
      <c r="P203" s="1490"/>
      <c r="Q203" s="1490"/>
      <c r="S203" s="1490"/>
      <c r="T203" s="1490"/>
      <c r="U203" s="1490"/>
      <c r="V203" s="1490"/>
      <c r="W203" s="1490"/>
      <c r="X203" s="1490"/>
      <c r="Y203" s="1490"/>
      <c r="Z203" s="1490"/>
      <c r="AA203" s="1490"/>
      <c r="AB203" s="1490"/>
      <c r="AC203" s="1490"/>
      <c r="AD203" s="1490"/>
      <c r="AE203" s="1490"/>
    </row>
    <row r="204" spans="1:31" ht="11.25" customHeight="1">
      <c r="A204" s="883"/>
      <c r="B204" s="1490"/>
      <c r="D204" s="1490"/>
      <c r="K204" s="1490"/>
      <c r="N204" s="1490"/>
      <c r="O204" s="1490"/>
      <c r="P204" s="1490"/>
      <c r="Q204" s="1490"/>
      <c r="S204" s="1490"/>
      <c r="T204" s="1490"/>
      <c r="U204" s="1490"/>
      <c r="V204" s="1490"/>
      <c r="W204" s="1490"/>
      <c r="X204" s="1490"/>
      <c r="Y204" s="1490"/>
      <c r="Z204" s="1490"/>
      <c r="AA204" s="1490"/>
      <c r="AB204" s="1490"/>
      <c r="AC204" s="1490"/>
      <c r="AD204" s="1490"/>
      <c r="AE204" s="1490"/>
    </row>
    <row r="205" spans="1:31" ht="11.25" customHeight="1">
      <c r="A205" s="883"/>
      <c r="B205" s="1490"/>
      <c r="D205" s="1490"/>
      <c r="K205" s="1490"/>
      <c r="N205" s="1490"/>
      <c r="O205" s="1490"/>
      <c r="P205" s="1490"/>
      <c r="Q205" s="1490"/>
      <c r="S205" s="1490"/>
      <c r="T205" s="1490"/>
      <c r="U205" s="1490"/>
      <c r="V205" s="1490"/>
      <c r="W205" s="1490"/>
      <c r="X205" s="1490"/>
      <c r="Y205" s="1490"/>
      <c r="Z205" s="1490"/>
      <c r="AA205" s="1490"/>
      <c r="AB205" s="1490"/>
      <c r="AC205" s="1490"/>
      <c r="AD205" s="1490"/>
      <c r="AE205" s="1490"/>
    </row>
    <row r="206" spans="1:31" ht="11.25" customHeight="1">
      <c r="A206" s="883"/>
      <c r="B206" s="1490"/>
      <c r="D206" s="1490"/>
      <c r="K206" s="1490"/>
      <c r="N206" s="1490"/>
      <c r="O206" s="1490"/>
      <c r="P206" s="1490"/>
      <c r="Q206" s="1490"/>
      <c r="S206" s="1490"/>
      <c r="T206" s="1490"/>
      <c r="U206" s="1490"/>
      <c r="V206" s="1490"/>
      <c r="W206" s="1490"/>
      <c r="X206" s="1490"/>
      <c r="Y206" s="1490"/>
      <c r="Z206" s="1490"/>
      <c r="AA206" s="1490"/>
      <c r="AB206" s="1490"/>
      <c r="AC206" s="1490"/>
      <c r="AD206" s="1490"/>
      <c r="AE206" s="1490"/>
    </row>
    <row r="207" spans="1:31" ht="11.25" customHeight="1">
      <c r="A207" s="883"/>
      <c r="B207" s="1490"/>
      <c r="D207" s="1490"/>
      <c r="K207" s="1490"/>
      <c r="N207" s="1490"/>
      <c r="O207" s="1490"/>
      <c r="P207" s="1490"/>
      <c r="Q207" s="1490"/>
      <c r="S207" s="1490"/>
      <c r="T207" s="1490"/>
      <c r="U207" s="1490"/>
      <c r="V207" s="1490"/>
      <c r="W207" s="1490"/>
      <c r="X207" s="1490"/>
      <c r="Y207" s="1490"/>
      <c r="Z207" s="1490"/>
      <c r="AA207" s="1490"/>
      <c r="AB207" s="1490"/>
      <c r="AC207" s="1490"/>
      <c r="AD207" s="1490"/>
      <c r="AE207" s="1490"/>
    </row>
    <row r="208" spans="1:31" ht="11.25" customHeight="1">
      <c r="A208" s="883"/>
      <c r="B208" s="1490"/>
      <c r="D208" s="1490"/>
      <c r="K208" s="1490"/>
      <c r="N208" s="1490"/>
      <c r="O208" s="1490"/>
      <c r="P208" s="1490"/>
      <c r="Q208" s="1490"/>
      <c r="S208" s="1490"/>
      <c r="T208" s="1490"/>
      <c r="U208" s="1490"/>
      <c r="V208" s="1490"/>
      <c r="W208" s="1490"/>
      <c r="X208" s="1490"/>
      <c r="Y208" s="1490"/>
      <c r="Z208" s="1490"/>
      <c r="AA208" s="1490"/>
      <c r="AB208" s="1490"/>
      <c r="AC208" s="1490"/>
      <c r="AD208" s="1490"/>
      <c r="AE208" s="1490"/>
    </row>
    <row r="209" spans="1:31" ht="11.25" customHeight="1">
      <c r="A209" s="883"/>
      <c r="B209" s="1490"/>
      <c r="D209" s="1490"/>
      <c r="K209" s="1490"/>
      <c r="N209" s="1490"/>
      <c r="O209" s="1490"/>
      <c r="P209" s="1490"/>
      <c r="Q209" s="1490"/>
      <c r="S209" s="1490"/>
      <c r="T209" s="1490"/>
      <c r="U209" s="1490"/>
      <c r="V209" s="1490"/>
      <c r="W209" s="1490"/>
      <c r="X209" s="1490"/>
      <c r="Y209" s="1490"/>
      <c r="Z209" s="1490"/>
      <c r="AA209" s="1490"/>
      <c r="AB209" s="1490"/>
      <c r="AC209" s="1490"/>
      <c r="AD209" s="1490"/>
      <c r="AE209" s="1490"/>
    </row>
  </sheetData>
  <sheetProtection formatColumns="0" formatRows="0" insertRows="0" deleteColumns="0" deleteRows="0" sort="0" autoFilter="0"/>
  <mergeCells count="9">
    <mergeCell ref="F39:J39"/>
    <mergeCell ref="F40:J40"/>
    <mergeCell ref="E6:I6"/>
    <mergeCell ref="E7:I7"/>
    <mergeCell ref="F10:G10"/>
    <mergeCell ref="J10:J14"/>
    <mergeCell ref="F11:G11"/>
    <mergeCell ref="F12:G12"/>
    <mergeCell ref="E13:G13"/>
  </mergeCells>
  <dataValidations count="5">
    <dataValidation type="decimal" allowBlank="1" showErrorMessage="1" errorTitle="Ошибка" error="Допускается ввод только действительных чисел!" sqref="H32:I34">
      <formula1>-9.99999999999999E+37</formula1>
      <formula2>9.99999999999999E+37</formula2>
    </dataValidation>
    <dataValidation type="decimal" allowBlank="1" showErrorMessage="1" errorTitle="Ошибка" error="Допускается ввод только действительных чисел!" sqref="H30:I30">
      <formula1>-9.99999999999999E+23</formula1>
      <formula2>9.99999999999999E+23</formula2>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Мониторинг&quot;." sqref="H35:I35">
      <formula1>900</formula1>
    </dataValidation>
    <dataValidation type="decimal" allowBlank="1" showErrorMessage="1" errorTitle="Ошибка" error="Допускается ввод только неотрицательных чисел!" sqref="H31:I31 H2:I2 H15:I15 H17:I27 H36:I37">
      <formula1>0</formula1>
      <formula2>9.99999999999999E+23</formula2>
    </dataValidation>
    <dataValidation type="textLength" operator="lessThanOrEqual" allowBlank="1" showInputMessage="1" showErrorMessage="1" errorTitle="Ошибка" error="Допускается ввод не более 900 символов!" prompt="Введите наименование прочих расходов" sqref="H28:I28">
      <formula1>900</formula1>
    </dataValidation>
  </dataValidation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tint="-0.249977111117893"/>
    <pageSetUpPr fitToPage="1"/>
  </sheetPr>
  <dimension ref="A1:W101"/>
  <sheetViews>
    <sheetView showGridLines="0" topLeftCell="C12" zoomScale="90" workbookViewId="0">
      <selection activeCell="I76" sqref="I76"/>
    </sheetView>
  </sheetViews>
  <sheetFormatPr defaultColWidth="10.5703125" defaultRowHeight="11.25" customHeight="1"/>
  <cols>
    <col min="1" max="1" width="9.140625" style="1804" hidden="1" customWidth="1"/>
    <col min="2" max="2" width="3.5703125" style="1755" hidden="1" customWidth="1"/>
    <col min="3" max="3" width="3.7109375" style="1829" customWidth="1"/>
    <col min="4" max="4" width="7.7109375" style="1829" customWidth="1"/>
    <col min="5" max="5" width="69.85546875" style="1829" customWidth="1"/>
    <col min="6" max="6" width="11.140625" style="1829" customWidth="1"/>
    <col min="7" max="8" width="44" style="1829" hidden="1" customWidth="1"/>
    <col min="9" max="10" width="44" style="1829" customWidth="1"/>
    <col min="11" max="11" width="74" style="1829" customWidth="1"/>
    <col min="12" max="12" width="3.7109375" style="1829" customWidth="1"/>
    <col min="13" max="23" width="10.5703125" style="1829"/>
  </cols>
  <sheetData>
    <row r="1" spans="1:12" s="1742" customFormat="1" ht="11.25" hidden="1" customHeight="1">
      <c r="A1" s="463"/>
      <c r="B1" s="439"/>
      <c r="G1" s="352">
        <v>4</v>
      </c>
      <c r="I1" s="352">
        <v>4</v>
      </c>
      <c r="K1" s="352">
        <v>5</v>
      </c>
    </row>
    <row r="2" spans="1:12" ht="3" customHeight="1"/>
    <row r="3" spans="1:12" ht="35.25" customHeight="1">
      <c r="D3" s="2000" t="str">
        <f>KNE_NAME_FORM</f>
        <v>Форма 7. Информация об основных потребительских характеристиках регулируемых товаров (услуг), тарифы на которые подлежат регулированию, и их соответствии установленным требованиям</v>
      </c>
      <c r="E3" s="2001"/>
      <c r="F3" s="2002"/>
    </row>
    <row r="4" spans="1:12" s="1829" customFormat="1" ht="20.25" customHeight="1">
      <c r="A4" s="845"/>
      <c r="B4" s="439"/>
      <c r="D4" s="2112" t="str">
        <f>IF(org=0,"Не определено",org)</f>
        <v>МУП г. Астрахани "Коммунэнерго"</v>
      </c>
      <c r="E4" s="2113"/>
      <c r="F4" s="2114"/>
    </row>
    <row r="5" spans="1:12" ht="11.25" customHeight="1">
      <c r="C5" s="437"/>
      <c r="D5" s="513"/>
      <c r="E5" s="513"/>
      <c r="F5" s="513"/>
      <c r="G5" s="513"/>
      <c r="H5" s="664"/>
      <c r="I5" s="513"/>
      <c r="J5" s="664"/>
      <c r="K5" s="513"/>
    </row>
    <row r="6" spans="1:12" ht="0.75" customHeight="1">
      <c r="C6" s="437"/>
      <c r="D6" s="437"/>
      <c r="E6" s="450"/>
      <c r="F6" s="535"/>
      <c r="G6" s="915"/>
      <c r="H6" s="915"/>
      <c r="I6" s="915" t="s">
        <v>117</v>
      </c>
      <c r="J6" s="915"/>
    </row>
    <row r="7" spans="1:12" ht="11.25" customHeight="1">
      <c r="D7" s="624"/>
      <c r="E7" s="2295" t="s">
        <v>104</v>
      </c>
      <c r="F7" s="2296"/>
      <c r="G7" s="2337" t="str">
        <f>IF(G6="","",INDEX(DIFFERENTIATION_UNMERGE_VD,MATCH(G6,DIFFERENTIATION_ID_DIFF,0)))</f>
        <v/>
      </c>
      <c r="H7" s="2338"/>
      <c r="I7" s="2337" t="str">
        <f>IF(I6="","",INDEX(DIFFERENTIATION_UNMERGE_VD,MATCH(I6,DIFFERENTIATION_ID_DIFF,0)))</f>
        <v>Горячее водоснабжение</v>
      </c>
      <c r="J7" s="2338"/>
      <c r="K7" s="2066"/>
      <c r="L7" s="437"/>
    </row>
    <row r="8" spans="1:12" ht="11.25" customHeight="1">
      <c r="A8" s="617"/>
      <c r="D8" s="624"/>
      <c r="E8" s="2295" t="s">
        <v>1422</v>
      </c>
      <c r="F8" s="2296"/>
      <c r="G8" s="2337" t="str">
        <f>IF(G6="","",INDEX(DIFFERENTIATION_UNMERGE_AREA,MATCH(G6,DIFFERENTIATION_ID_DIFF,0)))</f>
        <v/>
      </c>
      <c r="H8" s="2338"/>
      <c r="I8" s="2337" t="str">
        <f>IF(I6="","",INDEX(DIFFERENTIATION_UNMERGE_AREA,MATCH(I6,DIFFERENTIATION_ID_DIFF,0)))</f>
        <v>без дифференциации</v>
      </c>
      <c r="J8" s="2338"/>
      <c r="K8" s="2071"/>
      <c r="L8" s="437"/>
    </row>
    <row r="9" spans="1:12" ht="11.25" customHeight="1">
      <c r="A9" s="617"/>
      <c r="D9" s="624"/>
      <c r="E9" s="2295" t="s">
        <v>1423</v>
      </c>
      <c r="F9" s="2296"/>
      <c r="G9" s="2337" t="str">
        <f>IF(G6="","",INDEX(DIFFERENTIATION_UNMERGE_SYSTEM,MATCH(G6,DIFFERENTIATION_ID_DIFF,0)))</f>
        <v/>
      </c>
      <c r="H9" s="2338"/>
      <c r="I9" s="2337" t="str">
        <f>IF(I6="","",INDEX(DIFFERENTIATION_UNMERGE_SYSTEM,MATCH(I6,DIFFERENTIATION_ID_DIFF,0)))</f>
        <v>Котельная № Т-29</v>
      </c>
      <c r="J9" s="2338"/>
      <c r="K9" s="2071"/>
      <c r="L9" s="437"/>
    </row>
    <row r="10" spans="1:12" s="1829" customFormat="1" ht="11.25" customHeight="1">
      <c r="A10" s="914"/>
      <c r="B10" s="439"/>
      <c r="D10" s="1989" t="s">
        <v>292</v>
      </c>
      <c r="E10" s="1994"/>
      <c r="F10" s="1994"/>
      <c r="G10" s="1994"/>
      <c r="H10" s="1994"/>
      <c r="I10" s="1994"/>
      <c r="J10" s="1988"/>
      <c r="K10" s="2071"/>
      <c r="L10" s="437"/>
    </row>
    <row r="11" spans="1:12" s="1829" customFormat="1" ht="22.5" customHeight="1">
      <c r="A11" s="2220"/>
      <c r="B11" s="2220"/>
      <c r="C11" s="572"/>
      <c r="D11" s="616" t="s">
        <v>87</v>
      </c>
      <c r="E11" s="618" t="s">
        <v>1850</v>
      </c>
      <c r="F11" s="618" t="s">
        <v>1601</v>
      </c>
      <c r="G11" s="394" t="s">
        <v>295</v>
      </c>
      <c r="H11" s="394" t="s">
        <v>384</v>
      </c>
      <c r="I11" s="712" t="s">
        <v>295</v>
      </c>
      <c r="J11" s="713" t="s">
        <v>384</v>
      </c>
      <c r="K11" s="2122"/>
      <c r="L11" s="573"/>
    </row>
    <row r="12" spans="1:12" s="1755" customFormat="1" ht="10.5" customHeight="1">
      <c r="A12" s="846"/>
      <c r="D12" s="918" t="s">
        <v>108</v>
      </c>
      <c r="E12" s="918" t="s">
        <v>109</v>
      </c>
      <c r="F12" s="918" t="s">
        <v>89</v>
      </c>
      <c r="G12" s="919" t="str">
        <f>G1&amp;".1"</f>
        <v>4.1</v>
      </c>
      <c r="H12" s="919" t="str">
        <f>G1&amp;".2"</f>
        <v>4.2</v>
      </c>
      <c r="I12" s="919" t="str">
        <f>I1&amp;".1"</f>
        <v>4.1</v>
      </c>
      <c r="J12" s="919" t="str">
        <f>I1&amp;".2"</f>
        <v>4.2</v>
      </c>
      <c r="K12" s="919"/>
    </row>
    <row r="13" spans="1:12" ht="22.5" hidden="1" customHeight="1">
      <c r="A13" s="2339" t="s">
        <v>392</v>
      </c>
      <c r="D13" s="847" t="s">
        <v>108</v>
      </c>
      <c r="E13" s="198" t="s">
        <v>1602</v>
      </c>
      <c r="F13" s="575" t="s">
        <v>1603</v>
      </c>
      <c r="G13" s="484"/>
      <c r="H13" s="576"/>
      <c r="I13" s="484"/>
      <c r="J13" s="576"/>
      <c r="K13" s="207" t="s">
        <v>1604</v>
      </c>
      <c r="L13" s="633"/>
    </row>
    <row r="14" spans="1:12" ht="22.5" hidden="1" customHeight="1">
      <c r="A14" s="2339"/>
      <c r="D14" s="466" t="s">
        <v>109</v>
      </c>
      <c r="E14" s="198" t="s">
        <v>1605</v>
      </c>
      <c r="F14" s="575" t="s">
        <v>1606</v>
      </c>
      <c r="G14" s="484"/>
      <c r="H14" s="577"/>
      <c r="I14" s="484"/>
      <c r="J14" s="577"/>
      <c r="K14" s="207" t="s">
        <v>1607</v>
      </c>
      <c r="L14" s="633"/>
    </row>
    <row r="15" spans="1:12" s="1829" customFormat="1" ht="78.75" hidden="1" customHeight="1">
      <c r="A15" s="2339"/>
      <c r="B15" s="439"/>
      <c r="D15" s="847" t="s">
        <v>89</v>
      </c>
      <c r="E15" s="620" t="s">
        <v>1610</v>
      </c>
      <c r="F15" s="844" t="s">
        <v>298</v>
      </c>
      <c r="G15" s="844" t="s">
        <v>298</v>
      </c>
      <c r="H15" s="42"/>
      <c r="I15" s="844" t="s">
        <v>298</v>
      </c>
      <c r="J15" s="42"/>
      <c r="K15" s="207" t="s">
        <v>1851</v>
      </c>
      <c r="L15" s="633"/>
    </row>
    <row r="16" spans="1:12" s="1829" customFormat="1" ht="22.5" hidden="1" customHeight="1">
      <c r="A16" s="2339"/>
      <c r="B16" s="439"/>
      <c r="D16" s="847" t="s">
        <v>318</v>
      </c>
      <c r="E16" s="848" t="s">
        <v>1612</v>
      </c>
      <c r="F16" s="844" t="s">
        <v>1613</v>
      </c>
      <c r="G16" s="721"/>
      <c r="H16" s="42"/>
      <c r="I16" s="721"/>
      <c r="J16" s="42"/>
      <c r="K16" s="207"/>
      <c r="L16" s="633"/>
    </row>
    <row r="17" spans="1:23" s="1829" customFormat="1" ht="22.5" hidden="1" customHeight="1">
      <c r="A17" s="2339"/>
      <c r="B17" s="439"/>
      <c r="D17" s="847" t="s">
        <v>326</v>
      </c>
      <c r="E17" s="848" t="s">
        <v>1614</v>
      </c>
      <c r="F17" s="844" t="s">
        <v>1615</v>
      </c>
      <c r="G17" s="721"/>
      <c r="H17" s="42"/>
      <c r="I17" s="721"/>
      <c r="J17" s="42"/>
      <c r="K17" s="207"/>
      <c r="L17" s="633"/>
    </row>
    <row r="18" spans="1:23" s="1829" customFormat="1" ht="33.75" hidden="1" customHeight="1">
      <c r="A18" s="2339"/>
      <c r="B18" s="439"/>
      <c r="D18" s="847" t="s">
        <v>328</v>
      </c>
      <c r="E18" s="848" t="s">
        <v>1617</v>
      </c>
      <c r="F18" s="844" t="s">
        <v>1618</v>
      </c>
      <c r="G18" s="595"/>
      <c r="H18" s="42"/>
      <c r="I18" s="595"/>
      <c r="J18" s="42"/>
      <c r="K18" s="207"/>
      <c r="L18" s="633"/>
    </row>
    <row r="19" spans="1:23" ht="101.25" hidden="1" customHeight="1">
      <c r="A19" s="2339"/>
      <c r="D19" s="847" t="s">
        <v>90</v>
      </c>
      <c r="E19" s="198" t="s">
        <v>1852</v>
      </c>
      <c r="F19" s="575" t="s">
        <v>1434</v>
      </c>
      <c r="G19" s="578"/>
      <c r="H19" s="577"/>
      <c r="I19" s="849"/>
      <c r="J19" s="577"/>
      <c r="K19" s="207" t="s">
        <v>1853</v>
      </c>
      <c r="L19" s="633"/>
    </row>
    <row r="20" spans="1:23" s="1829" customFormat="1" ht="18.75" hidden="1" customHeight="1">
      <c r="A20" s="2339"/>
      <c r="C20" s="850"/>
      <c r="D20" s="847" t="s">
        <v>613</v>
      </c>
      <c r="E20" s="848" t="s">
        <v>1854</v>
      </c>
      <c r="F20" s="844" t="s">
        <v>298</v>
      </c>
      <c r="G20" s="844" t="s">
        <v>298</v>
      </c>
      <c r="H20" s="843" t="s">
        <v>298</v>
      </c>
      <c r="I20" s="844" t="s">
        <v>298</v>
      </c>
      <c r="J20" s="843" t="s">
        <v>298</v>
      </c>
      <c r="K20" s="842"/>
      <c r="L20" s="633"/>
      <c r="W20" s="590"/>
    </row>
    <row r="21" spans="1:23" s="1829" customFormat="1" ht="33.75" hidden="1" customHeight="1">
      <c r="A21" s="2339"/>
      <c r="C21" s="850"/>
      <c r="D21" s="847" t="s">
        <v>622</v>
      </c>
      <c r="E21" s="503" t="s">
        <v>1855</v>
      </c>
      <c r="F21" s="844" t="s">
        <v>1856</v>
      </c>
      <c r="G21" s="839"/>
      <c r="H21" s="42"/>
      <c r="I21" s="839"/>
      <c r="J21" s="42"/>
      <c r="K21" s="842"/>
      <c r="L21" s="633"/>
      <c r="W21" s="590"/>
    </row>
    <row r="22" spans="1:23" s="1829" customFormat="1" ht="33.75" hidden="1" customHeight="1">
      <c r="A22" s="2339"/>
      <c r="C22" s="850"/>
      <c r="D22" s="847" t="s">
        <v>628</v>
      </c>
      <c r="E22" s="503" t="s">
        <v>1857</v>
      </c>
      <c r="F22" s="844" t="s">
        <v>1858</v>
      </c>
      <c r="G22" s="839"/>
      <c r="H22" s="42"/>
      <c r="I22" s="839"/>
      <c r="J22" s="42"/>
      <c r="K22" s="842"/>
      <c r="L22" s="633"/>
      <c r="W22" s="590"/>
    </row>
    <row r="23" spans="1:23" s="1829" customFormat="1" ht="22.5" hidden="1" customHeight="1">
      <c r="A23" s="2339"/>
      <c r="C23" s="850"/>
      <c r="D23" s="847" t="s">
        <v>632</v>
      </c>
      <c r="E23" s="848" t="s">
        <v>1859</v>
      </c>
      <c r="F23" s="844" t="s">
        <v>298</v>
      </c>
      <c r="G23" s="844" t="s">
        <v>298</v>
      </c>
      <c r="H23" s="843" t="s">
        <v>298</v>
      </c>
      <c r="I23" s="844" t="s">
        <v>298</v>
      </c>
      <c r="J23" s="843" t="s">
        <v>298</v>
      </c>
      <c r="K23" s="842"/>
      <c r="L23" s="633"/>
      <c r="W23" s="590"/>
    </row>
    <row r="24" spans="1:23" s="1829" customFormat="1" ht="22.5" hidden="1" customHeight="1">
      <c r="A24" s="2339"/>
      <c r="C24" s="850"/>
      <c r="D24" s="847" t="s">
        <v>1860</v>
      </c>
      <c r="E24" s="503" t="s">
        <v>1861</v>
      </c>
      <c r="F24" s="844" t="s">
        <v>1862</v>
      </c>
      <c r="G24" s="839"/>
      <c r="H24" s="600"/>
      <c r="I24" s="839"/>
      <c r="J24" s="600"/>
      <c r="K24" s="842"/>
      <c r="L24" s="633"/>
      <c r="W24" s="590"/>
    </row>
    <row r="25" spans="1:23" s="1829" customFormat="1" ht="22.5" hidden="1" customHeight="1">
      <c r="A25" s="2339"/>
      <c r="C25" s="850"/>
      <c r="D25" s="847" t="s">
        <v>1863</v>
      </c>
      <c r="E25" s="503" t="s">
        <v>1864</v>
      </c>
      <c r="F25" s="844" t="s">
        <v>298</v>
      </c>
      <c r="G25" s="844" t="s">
        <v>298</v>
      </c>
      <c r="H25" s="843" t="s">
        <v>298</v>
      </c>
      <c r="I25" s="844" t="s">
        <v>298</v>
      </c>
      <c r="J25" s="843" t="s">
        <v>298</v>
      </c>
      <c r="K25" s="842"/>
      <c r="L25" s="633"/>
      <c r="W25" s="590"/>
    </row>
    <row r="26" spans="1:23" s="1829" customFormat="1" ht="18.75" hidden="1" customHeight="1">
      <c r="A26" s="2339"/>
      <c r="C26" s="850"/>
      <c r="D26" s="847" t="s">
        <v>1865</v>
      </c>
      <c r="E26" s="480" t="s">
        <v>1866</v>
      </c>
      <c r="F26" s="844" t="s">
        <v>1867</v>
      </c>
      <c r="G26" s="595"/>
      <c r="H26" s="600"/>
      <c r="I26" s="595"/>
      <c r="J26" s="600"/>
      <c r="K26" s="842"/>
      <c r="L26" s="633"/>
      <c r="W26" s="590"/>
    </row>
    <row r="27" spans="1:23" s="1829" customFormat="1" ht="18.75" hidden="1" customHeight="1">
      <c r="A27" s="2339"/>
      <c r="C27" s="850"/>
      <c r="D27" s="847" t="s">
        <v>1868</v>
      </c>
      <c r="E27" s="480" t="s">
        <v>1869</v>
      </c>
      <c r="F27" s="844" t="s">
        <v>1870</v>
      </c>
      <c r="G27" s="595"/>
      <c r="H27" s="600"/>
      <c r="I27" s="595"/>
      <c r="J27" s="600"/>
      <c r="K27" s="842"/>
      <c r="L27" s="633"/>
      <c r="W27" s="590"/>
    </row>
    <row r="28" spans="1:23" s="1829" customFormat="1" ht="18.75" hidden="1" customHeight="1">
      <c r="A28" s="2339"/>
      <c r="C28" s="850"/>
      <c r="D28" s="847" t="s">
        <v>1871</v>
      </c>
      <c r="E28" s="503" t="s">
        <v>1872</v>
      </c>
      <c r="F28" s="844" t="s">
        <v>298</v>
      </c>
      <c r="G28" s="844" t="s">
        <v>298</v>
      </c>
      <c r="H28" s="843" t="s">
        <v>298</v>
      </c>
      <c r="I28" s="844" t="s">
        <v>298</v>
      </c>
      <c r="J28" s="843" t="s">
        <v>298</v>
      </c>
      <c r="K28" s="842"/>
      <c r="L28" s="633"/>
      <c r="W28" s="590"/>
    </row>
    <row r="29" spans="1:23" s="1829" customFormat="1" ht="18.75" hidden="1" customHeight="1">
      <c r="A29" s="2339"/>
      <c r="C29" s="850"/>
      <c r="D29" s="847" t="s">
        <v>1873</v>
      </c>
      <c r="E29" s="480" t="s">
        <v>1866</v>
      </c>
      <c r="F29" s="844" t="s">
        <v>1874</v>
      </c>
      <c r="G29" s="595"/>
      <c r="H29" s="600"/>
      <c r="I29" s="595"/>
      <c r="J29" s="600"/>
      <c r="K29" s="842"/>
      <c r="L29" s="633"/>
      <c r="W29" s="590"/>
    </row>
    <row r="30" spans="1:23" s="1829" customFormat="1" ht="18.75" hidden="1" customHeight="1">
      <c r="A30" s="2339"/>
      <c r="C30" s="850"/>
      <c r="D30" s="847" t="s">
        <v>1875</v>
      </c>
      <c r="E30" s="480" t="s">
        <v>1876</v>
      </c>
      <c r="F30" s="844" t="s">
        <v>1877</v>
      </c>
      <c r="G30" s="595"/>
      <c r="H30" s="600"/>
      <c r="I30" s="595"/>
      <c r="J30" s="600"/>
      <c r="K30" s="842"/>
      <c r="L30" s="633"/>
      <c r="W30" s="590"/>
    </row>
    <row r="31" spans="1:23" ht="126.75" hidden="1" customHeight="1">
      <c r="A31" s="2339"/>
      <c r="D31" s="847" t="s">
        <v>110</v>
      </c>
      <c r="E31" s="198" t="s">
        <v>1878</v>
      </c>
      <c r="F31" s="575" t="s">
        <v>1620</v>
      </c>
      <c r="G31" s="484"/>
      <c r="H31" s="577"/>
      <c r="I31" s="484"/>
      <c r="J31" s="577"/>
      <c r="K31" s="207" t="s">
        <v>1879</v>
      </c>
      <c r="L31" s="633"/>
    </row>
    <row r="32" spans="1:23" ht="56.25" hidden="1" customHeight="1">
      <c r="A32" s="2339"/>
      <c r="D32" s="847" t="s">
        <v>91</v>
      </c>
      <c r="E32" s="198" t="s">
        <v>1880</v>
      </c>
      <c r="F32" s="466" t="s">
        <v>1615</v>
      </c>
      <c r="G32" s="484"/>
      <c r="H32" s="577"/>
      <c r="I32" s="484"/>
      <c r="J32" s="577"/>
      <c r="K32" s="207" t="s">
        <v>1881</v>
      </c>
      <c r="L32" s="633"/>
    </row>
    <row r="33" spans="1:11" ht="11.25" hidden="1" customHeight="1">
      <c r="A33" s="2339"/>
      <c r="E33" s="579"/>
      <c r="F33" s="109"/>
      <c r="G33" s="109"/>
      <c r="H33" s="109"/>
      <c r="I33" s="109"/>
      <c r="J33" s="109"/>
      <c r="K33" s="109"/>
    </row>
    <row r="34" spans="1:11" ht="12.75" hidden="1" customHeight="1">
      <c r="A34" s="2339"/>
      <c r="D34" s="6">
        <v>1</v>
      </c>
      <c r="E34" s="260" t="s">
        <v>1882</v>
      </c>
    </row>
    <row r="35" spans="1:11" ht="11.25" hidden="1" customHeight="1">
      <c r="A35" s="2339"/>
      <c r="D35" s="296"/>
      <c r="E35" s="260" t="s">
        <v>1883</v>
      </c>
    </row>
    <row r="36" spans="1:11" s="1829" customFormat="1" ht="11.25" customHeight="1">
      <c r="A36" s="926"/>
      <c r="B36" s="446"/>
      <c r="D36" s="927"/>
      <c r="E36" s="928"/>
    </row>
    <row r="37" spans="1:11" s="1829" customFormat="1" ht="22.5" hidden="1" customHeight="1">
      <c r="A37" s="2339" t="s">
        <v>393</v>
      </c>
      <c r="B37" s="439"/>
      <c r="D37" s="847">
        <v>1</v>
      </c>
      <c r="E37" s="620" t="s">
        <v>1884</v>
      </c>
      <c r="F37" s="575" t="s">
        <v>1603</v>
      </c>
      <c r="G37" s="484"/>
      <c r="H37" s="447"/>
      <c r="I37" s="484"/>
      <c r="J37" s="447"/>
      <c r="K37" s="207" t="s">
        <v>1885</v>
      </c>
    </row>
    <row r="38" spans="1:11" s="1829" customFormat="1" ht="22.5" hidden="1" customHeight="1">
      <c r="A38" s="2339"/>
      <c r="B38" s="439"/>
      <c r="D38" s="584" t="s">
        <v>109</v>
      </c>
      <c r="E38" s="925" t="s">
        <v>1886</v>
      </c>
      <c r="F38" s="929" t="s">
        <v>1434</v>
      </c>
      <c r="G38" s="929" t="s">
        <v>1434</v>
      </c>
      <c r="H38" s="923"/>
      <c r="I38" s="929" t="s">
        <v>1434</v>
      </c>
      <c r="J38" s="923"/>
      <c r="K38" s="924"/>
    </row>
    <row r="39" spans="1:11" s="1829" customFormat="1" ht="33.75" hidden="1" customHeight="1">
      <c r="A39" s="2339"/>
      <c r="B39" s="439"/>
      <c r="D39" s="580" t="s">
        <v>1459</v>
      </c>
      <c r="E39" s="637" t="s">
        <v>1887</v>
      </c>
      <c r="F39" s="575" t="s">
        <v>1888</v>
      </c>
      <c r="G39" s="583"/>
      <c r="H39" s="916"/>
      <c r="I39" s="583"/>
      <c r="J39" s="916"/>
      <c r="K39" s="207" t="s">
        <v>1889</v>
      </c>
    </row>
    <row r="40" spans="1:11" s="1829" customFormat="1" ht="33.75" hidden="1" customHeight="1">
      <c r="A40" s="2339"/>
      <c r="B40" s="439"/>
      <c r="D40" s="580" t="s">
        <v>1781</v>
      </c>
      <c r="E40" s="637" t="s">
        <v>1890</v>
      </c>
      <c r="F40" s="920" t="s">
        <v>1891</v>
      </c>
      <c r="G40" s="654"/>
      <c r="H40" s="916"/>
      <c r="I40" s="654"/>
      <c r="J40" s="916"/>
      <c r="K40" s="207" t="s">
        <v>1892</v>
      </c>
    </row>
    <row r="41" spans="1:11" s="1829" customFormat="1" ht="22.5" hidden="1" customHeight="1">
      <c r="A41" s="2339"/>
      <c r="B41" s="439"/>
      <c r="D41" s="580" t="s">
        <v>89</v>
      </c>
      <c r="E41" s="636" t="s">
        <v>1893</v>
      </c>
      <c r="F41" s="575" t="s">
        <v>1434</v>
      </c>
      <c r="G41" s="575" t="s">
        <v>1434</v>
      </c>
      <c r="H41" s="917"/>
      <c r="I41" s="575" t="s">
        <v>1434</v>
      </c>
      <c r="J41" s="917"/>
      <c r="K41" s="220"/>
    </row>
    <row r="42" spans="1:11" s="1829" customFormat="1" ht="45" hidden="1" customHeight="1">
      <c r="A42" s="2339"/>
      <c r="B42" s="439"/>
      <c r="D42" s="580" t="s">
        <v>318</v>
      </c>
      <c r="E42" s="637" t="s">
        <v>1894</v>
      </c>
      <c r="F42" s="575" t="s">
        <v>1620</v>
      </c>
      <c r="G42" s="484"/>
      <c r="H42" s="917"/>
      <c r="I42" s="484"/>
      <c r="J42" s="917"/>
      <c r="K42" s="220" t="s">
        <v>1895</v>
      </c>
    </row>
    <row r="43" spans="1:11" s="1829" customFormat="1" ht="45" hidden="1" customHeight="1">
      <c r="A43" s="2339"/>
      <c r="B43" s="439"/>
      <c r="D43" s="580" t="s">
        <v>326</v>
      </c>
      <c r="E43" s="582" t="s">
        <v>1896</v>
      </c>
      <c r="F43" s="921" t="s">
        <v>1620</v>
      </c>
      <c r="G43" s="655"/>
      <c r="H43" s="916"/>
      <c r="I43" s="655"/>
      <c r="J43" s="916"/>
      <c r="K43" s="220" t="s">
        <v>1897</v>
      </c>
    </row>
    <row r="44" spans="1:11" s="1829" customFormat="1" ht="11.25" hidden="1" customHeight="1">
      <c r="A44" s="2339"/>
      <c r="B44" s="439"/>
      <c r="D44" s="580" t="s">
        <v>90</v>
      </c>
      <c r="E44" s="581" t="s">
        <v>1898</v>
      </c>
      <c r="F44" s="575" t="s">
        <v>1888</v>
      </c>
      <c r="G44" s="583"/>
      <c r="H44" s="916"/>
      <c r="I44" s="583"/>
      <c r="J44" s="916"/>
      <c r="K44" s="207"/>
    </row>
    <row r="45" spans="1:11" s="1829" customFormat="1" ht="11.25" hidden="1" customHeight="1">
      <c r="A45" s="2339"/>
      <c r="B45" s="439"/>
      <c r="D45" s="580" t="s">
        <v>613</v>
      </c>
      <c r="E45" s="582" t="s">
        <v>1899</v>
      </c>
      <c r="F45" s="575" t="s">
        <v>1888</v>
      </c>
      <c r="G45" s="583"/>
      <c r="H45" s="916"/>
      <c r="I45" s="583"/>
      <c r="J45" s="916"/>
      <c r="K45" s="207"/>
    </row>
    <row r="46" spans="1:11" s="1829" customFormat="1" ht="11.25" hidden="1" customHeight="1">
      <c r="A46" s="2339"/>
      <c r="B46" s="439"/>
      <c r="D46" s="580" t="s">
        <v>632</v>
      </c>
      <c r="E46" s="582" t="s">
        <v>1900</v>
      </c>
      <c r="F46" s="575" t="s">
        <v>1888</v>
      </c>
      <c r="G46" s="583"/>
      <c r="H46" s="916"/>
      <c r="I46" s="583"/>
      <c r="J46" s="916"/>
      <c r="K46" s="207"/>
    </row>
    <row r="47" spans="1:11" s="1829" customFormat="1" ht="11.25" hidden="1" customHeight="1">
      <c r="A47" s="2339"/>
      <c r="B47" s="439"/>
      <c r="D47" s="580" t="s">
        <v>1616</v>
      </c>
      <c r="E47" s="582" t="s">
        <v>1901</v>
      </c>
      <c r="F47" s="575" t="s">
        <v>1888</v>
      </c>
      <c r="G47" s="583"/>
      <c r="H47" s="916"/>
      <c r="I47" s="583"/>
      <c r="J47" s="916"/>
      <c r="K47" s="207"/>
    </row>
    <row r="48" spans="1:11" s="1829" customFormat="1" ht="11.25" hidden="1" customHeight="1">
      <c r="A48" s="2339"/>
      <c r="B48" s="439"/>
      <c r="D48" s="580" t="s">
        <v>1902</v>
      </c>
      <c r="E48" s="586" t="s">
        <v>1903</v>
      </c>
      <c r="F48" s="575" t="s">
        <v>1888</v>
      </c>
      <c r="G48" s="583"/>
      <c r="H48" s="916"/>
      <c r="I48" s="583"/>
      <c r="J48" s="916"/>
      <c r="K48" s="207"/>
    </row>
    <row r="49" spans="1:11" s="1829" customFormat="1" ht="11.25" hidden="1" customHeight="1">
      <c r="A49" s="2339"/>
      <c r="B49" s="439"/>
      <c r="D49" s="580" t="s">
        <v>1904</v>
      </c>
      <c r="E49" s="586" t="s">
        <v>1905</v>
      </c>
      <c r="F49" s="575" t="s">
        <v>1888</v>
      </c>
      <c r="G49" s="583"/>
      <c r="H49" s="916"/>
      <c r="I49" s="583"/>
      <c r="J49" s="916"/>
      <c r="K49" s="207"/>
    </row>
    <row r="50" spans="1:11" s="1829" customFormat="1" ht="11.25" hidden="1" customHeight="1">
      <c r="A50" s="2339"/>
      <c r="B50" s="439"/>
      <c r="D50" s="580" t="s">
        <v>1906</v>
      </c>
      <c r="E50" s="582" t="s">
        <v>1907</v>
      </c>
      <c r="F50" s="575" t="s">
        <v>1888</v>
      </c>
      <c r="G50" s="583"/>
      <c r="H50" s="916"/>
      <c r="I50" s="583"/>
      <c r="J50" s="916"/>
      <c r="K50" s="207"/>
    </row>
    <row r="51" spans="1:11" s="1829" customFormat="1" ht="11.25" hidden="1" customHeight="1">
      <c r="A51" s="2339"/>
      <c r="B51" s="439"/>
      <c r="D51" s="580" t="s">
        <v>1908</v>
      </c>
      <c r="E51" s="582" t="s">
        <v>1909</v>
      </c>
      <c r="F51" s="575" t="s">
        <v>1888</v>
      </c>
      <c r="G51" s="583"/>
      <c r="H51" s="916"/>
      <c r="I51" s="583"/>
      <c r="J51" s="916"/>
      <c r="K51" s="207"/>
    </row>
    <row r="52" spans="1:11" s="1829" customFormat="1" ht="45" hidden="1" customHeight="1">
      <c r="A52" s="2339"/>
      <c r="B52" s="439"/>
      <c r="D52" s="580" t="s">
        <v>110</v>
      </c>
      <c r="E52" s="581" t="s">
        <v>1910</v>
      </c>
      <c r="F52" s="575" t="s">
        <v>1888</v>
      </c>
      <c r="G52" s="583"/>
      <c r="H52" s="916"/>
      <c r="I52" s="583"/>
      <c r="J52" s="916"/>
      <c r="K52" s="207"/>
    </row>
    <row r="53" spans="1:11" s="1829" customFormat="1" ht="11.25" hidden="1" customHeight="1">
      <c r="A53" s="2339"/>
      <c r="B53" s="439"/>
      <c r="D53" s="580" t="s">
        <v>307</v>
      </c>
      <c r="E53" s="582" t="s">
        <v>1899</v>
      </c>
      <c r="F53" s="575" t="s">
        <v>1888</v>
      </c>
      <c r="G53" s="583"/>
      <c r="H53" s="916"/>
      <c r="I53" s="583"/>
      <c r="J53" s="916"/>
      <c r="K53" s="207"/>
    </row>
    <row r="54" spans="1:11" s="1829" customFormat="1" ht="11.25" hidden="1" customHeight="1">
      <c r="A54" s="2339"/>
      <c r="B54" s="439"/>
      <c r="D54" s="580" t="s">
        <v>309</v>
      </c>
      <c r="E54" s="582" t="s">
        <v>1900</v>
      </c>
      <c r="F54" s="575" t="s">
        <v>1888</v>
      </c>
      <c r="G54" s="583"/>
      <c r="H54" s="916"/>
      <c r="I54" s="583"/>
      <c r="J54" s="916"/>
      <c r="K54" s="207"/>
    </row>
    <row r="55" spans="1:11" s="1829" customFormat="1" ht="11.25" hidden="1" customHeight="1">
      <c r="A55" s="2339"/>
      <c r="B55" s="439"/>
      <c r="D55" s="580" t="s">
        <v>312</v>
      </c>
      <c r="E55" s="582" t="s">
        <v>1901</v>
      </c>
      <c r="F55" s="575" t="s">
        <v>1888</v>
      </c>
      <c r="G55" s="583"/>
      <c r="H55" s="916"/>
      <c r="I55" s="583"/>
      <c r="J55" s="916"/>
      <c r="K55" s="207"/>
    </row>
    <row r="56" spans="1:11" s="1829" customFormat="1" ht="11.25" hidden="1" customHeight="1">
      <c r="A56" s="2339"/>
      <c r="B56" s="439"/>
      <c r="D56" s="580" t="s">
        <v>1596</v>
      </c>
      <c r="E56" s="586" t="s">
        <v>1903</v>
      </c>
      <c r="F56" s="575" t="s">
        <v>1888</v>
      </c>
      <c r="G56" s="583"/>
      <c r="H56" s="916"/>
      <c r="I56" s="583"/>
      <c r="J56" s="916"/>
      <c r="K56" s="207"/>
    </row>
    <row r="57" spans="1:11" s="1829" customFormat="1" ht="11.25" hidden="1" customHeight="1">
      <c r="A57" s="2339"/>
      <c r="B57" s="439"/>
      <c r="D57" s="580" t="s">
        <v>1911</v>
      </c>
      <c r="E57" s="586" t="s">
        <v>1905</v>
      </c>
      <c r="F57" s="575" t="s">
        <v>1888</v>
      </c>
      <c r="G57" s="583"/>
      <c r="H57" s="916"/>
      <c r="I57" s="583"/>
      <c r="J57" s="916"/>
      <c r="K57" s="207"/>
    </row>
    <row r="58" spans="1:11" s="1829" customFormat="1" ht="11.25" hidden="1" customHeight="1">
      <c r="A58" s="2339"/>
      <c r="B58" s="439"/>
      <c r="D58" s="580" t="s">
        <v>314</v>
      </c>
      <c r="E58" s="582" t="s">
        <v>1907</v>
      </c>
      <c r="F58" s="575" t="s">
        <v>1888</v>
      </c>
      <c r="G58" s="583"/>
      <c r="H58" s="916"/>
      <c r="I58" s="583"/>
      <c r="J58" s="916"/>
      <c r="K58" s="207"/>
    </row>
    <row r="59" spans="1:11" s="1829" customFormat="1" ht="11.25" hidden="1" customHeight="1">
      <c r="A59" s="2339"/>
      <c r="B59" s="439"/>
      <c r="D59" s="580" t="s">
        <v>1912</v>
      </c>
      <c r="E59" s="582" t="s">
        <v>1909</v>
      </c>
      <c r="F59" s="575" t="s">
        <v>1888</v>
      </c>
      <c r="G59" s="583"/>
      <c r="H59" s="916"/>
      <c r="I59" s="583"/>
      <c r="J59" s="916"/>
      <c r="K59" s="207"/>
    </row>
    <row r="60" spans="1:11" s="1829" customFormat="1" ht="33.75" hidden="1" customHeight="1">
      <c r="A60" s="2339"/>
      <c r="B60" s="439"/>
      <c r="D60" s="580" t="s">
        <v>91</v>
      </c>
      <c r="E60" s="581" t="s">
        <v>1913</v>
      </c>
      <c r="F60" s="635" t="s">
        <v>1620</v>
      </c>
      <c r="G60" s="655"/>
      <c r="H60" s="916"/>
      <c r="I60" s="655"/>
      <c r="J60" s="916"/>
      <c r="K60" s="220" t="s">
        <v>1914</v>
      </c>
    </row>
    <row r="61" spans="1:11" s="1829" customFormat="1" ht="33.75" hidden="1" customHeight="1">
      <c r="A61" s="2339"/>
      <c r="B61" s="439"/>
      <c r="D61" s="580" t="s">
        <v>92</v>
      </c>
      <c r="E61" s="581" t="s">
        <v>1915</v>
      </c>
      <c r="F61" s="640" t="s">
        <v>1615</v>
      </c>
      <c r="G61" s="583"/>
      <c r="H61" s="916"/>
      <c r="I61" s="583"/>
      <c r="J61" s="916"/>
      <c r="K61" s="207"/>
    </row>
    <row r="62" spans="1:11" s="1829" customFormat="1" ht="22.5" hidden="1" customHeight="1">
      <c r="A62" s="2339"/>
      <c r="B62" s="439" t="s">
        <v>1749</v>
      </c>
      <c r="D62" s="580" t="s">
        <v>111</v>
      </c>
      <c r="E62" s="581" t="s">
        <v>1916</v>
      </c>
      <c r="F62" s="640" t="s">
        <v>298</v>
      </c>
      <c r="G62" s="314"/>
      <c r="H62" s="916"/>
      <c r="I62" s="314"/>
      <c r="J62" s="916"/>
      <c r="K62" s="207" t="s">
        <v>713</v>
      </c>
    </row>
    <row r="63" spans="1:11" s="1829" customFormat="1" ht="45" hidden="1" customHeight="1">
      <c r="A63" s="2339"/>
      <c r="B63" s="439" t="s">
        <v>1749</v>
      </c>
      <c r="D63" s="580" t="s">
        <v>1917</v>
      </c>
      <c r="E63" s="582" t="s">
        <v>1918</v>
      </c>
      <c r="F63" s="635" t="s">
        <v>298</v>
      </c>
      <c r="G63" s="314"/>
      <c r="H63" s="916"/>
      <c r="I63" s="314"/>
      <c r="J63" s="916"/>
      <c r="K63" s="207" t="s">
        <v>713</v>
      </c>
    </row>
    <row r="64" spans="1:11" s="1829" customFormat="1" ht="11.25" customHeight="1">
      <c r="A64" s="926"/>
      <c r="B64" s="446"/>
      <c r="D64" s="927"/>
      <c r="E64" s="928"/>
    </row>
    <row r="65" spans="1:11" s="1829" customFormat="1" ht="22.5" customHeight="1">
      <c r="A65" s="2339" t="s">
        <v>395</v>
      </c>
      <c r="B65" s="439"/>
      <c r="D65" s="580">
        <v>1</v>
      </c>
      <c r="E65" s="657" t="s">
        <v>1919</v>
      </c>
      <c r="F65" s="653" t="s">
        <v>1603</v>
      </c>
      <c r="G65" s="654"/>
      <c r="H65" s="922"/>
      <c r="I65" s="654">
        <v>0</v>
      </c>
      <c r="J65" s="922"/>
      <c r="K65" s="219" t="s">
        <v>1920</v>
      </c>
    </row>
    <row r="66" spans="1:11" s="1829" customFormat="1" ht="56.25" customHeight="1">
      <c r="A66" s="2339"/>
      <c r="B66" s="439"/>
      <c r="D66" s="656" t="s">
        <v>109</v>
      </c>
      <c r="E66" s="620" t="s">
        <v>1921</v>
      </c>
      <c r="F66" s="575" t="s">
        <v>1434</v>
      </c>
      <c r="G66" s="575" t="s">
        <v>1434</v>
      </c>
      <c r="H66" s="447"/>
      <c r="I66" s="575" t="s">
        <v>1434</v>
      </c>
      <c r="J66" s="447"/>
      <c r="K66" s="207"/>
    </row>
    <row r="67" spans="1:11" s="1829" customFormat="1" ht="33.75" customHeight="1">
      <c r="A67" s="2339"/>
      <c r="B67" s="439"/>
      <c r="D67" s="656" t="s">
        <v>505</v>
      </c>
      <c r="E67" s="848" t="s">
        <v>1922</v>
      </c>
      <c r="F67" s="575" t="s">
        <v>1891</v>
      </c>
      <c r="G67" s="641"/>
      <c r="H67" s="447"/>
      <c r="I67" s="641">
        <v>0</v>
      </c>
      <c r="J67" s="447"/>
      <c r="K67" s="207"/>
    </row>
    <row r="68" spans="1:11" s="1829" customFormat="1" ht="22.5" customHeight="1">
      <c r="A68" s="2339"/>
      <c r="B68" s="439"/>
      <c r="D68" s="656" t="s">
        <v>299</v>
      </c>
      <c r="E68" s="848" t="s">
        <v>1923</v>
      </c>
      <c r="F68" s="575" t="s">
        <v>1891</v>
      </c>
      <c r="G68" s="641"/>
      <c r="H68" s="447"/>
      <c r="I68" s="641">
        <v>0</v>
      </c>
      <c r="J68" s="447"/>
      <c r="K68" s="207"/>
    </row>
    <row r="69" spans="1:11" s="1829" customFormat="1" ht="22.5" customHeight="1">
      <c r="A69" s="2339"/>
      <c r="B69" s="439"/>
      <c r="D69" s="656" t="s">
        <v>302</v>
      </c>
      <c r="E69" s="848" t="s">
        <v>1924</v>
      </c>
      <c r="F69" s="635" t="s">
        <v>1620</v>
      </c>
      <c r="G69" s="655"/>
      <c r="H69" s="447"/>
      <c r="I69" s="655">
        <v>0</v>
      </c>
      <c r="J69" s="447"/>
      <c r="K69" s="207"/>
    </row>
    <row r="70" spans="1:11" s="1829" customFormat="1" ht="22.5" customHeight="1">
      <c r="A70" s="2339"/>
      <c r="B70" s="439"/>
      <c r="D70" s="656" t="s">
        <v>514</v>
      </c>
      <c r="E70" s="848" t="s">
        <v>1925</v>
      </c>
      <c r="F70" s="635" t="s">
        <v>1620</v>
      </c>
      <c r="G70" s="655"/>
      <c r="H70" s="447"/>
      <c r="I70" s="655">
        <v>0</v>
      </c>
      <c r="J70" s="447"/>
      <c r="K70" s="207"/>
    </row>
    <row r="71" spans="1:11" s="1829" customFormat="1" ht="22.5" customHeight="1">
      <c r="A71" s="2339"/>
      <c r="B71" s="439"/>
      <c r="D71" s="580" t="s">
        <v>89</v>
      </c>
      <c r="E71" s="581" t="s">
        <v>1926</v>
      </c>
      <c r="F71" s="575" t="s">
        <v>1891</v>
      </c>
      <c r="G71" s="484"/>
      <c r="H71" s="923"/>
      <c r="I71" s="484">
        <v>0</v>
      </c>
      <c r="J71" s="923"/>
      <c r="K71" s="220"/>
    </row>
    <row r="72" spans="1:11" s="1829" customFormat="1" ht="56.25" customHeight="1">
      <c r="A72" s="2339"/>
      <c r="B72" s="439"/>
      <c r="D72" s="580" t="s">
        <v>90</v>
      </c>
      <c r="E72" s="581" t="s">
        <v>1927</v>
      </c>
      <c r="F72" s="635" t="s">
        <v>1620</v>
      </c>
      <c r="G72" s="655"/>
      <c r="H72" s="916"/>
      <c r="I72" s="655">
        <v>0</v>
      </c>
      <c r="J72" s="916"/>
      <c r="K72" s="220"/>
    </row>
    <row r="73" spans="1:11" s="1829" customFormat="1" ht="33.75" customHeight="1">
      <c r="A73" s="2339"/>
      <c r="B73" s="439"/>
      <c r="D73" s="580" t="s">
        <v>110</v>
      </c>
      <c r="E73" s="581" t="s">
        <v>1928</v>
      </c>
      <c r="F73" s="640" t="s">
        <v>1615</v>
      </c>
      <c r="G73" s="583"/>
      <c r="H73" s="916"/>
      <c r="I73" s="583">
        <v>0</v>
      </c>
      <c r="J73" s="916"/>
      <c r="K73" s="207"/>
    </row>
    <row r="74" spans="1:11" s="1829" customFormat="1" ht="22.5" customHeight="1">
      <c r="A74" s="2339"/>
      <c r="B74" s="439" t="s">
        <v>1749</v>
      </c>
      <c r="D74" s="580" t="s">
        <v>91</v>
      </c>
      <c r="E74" s="581" t="s">
        <v>1929</v>
      </c>
      <c r="F74" s="640" t="s">
        <v>298</v>
      </c>
      <c r="G74" s="314"/>
      <c r="H74" s="916"/>
      <c r="I74" s="314" t="s">
        <v>370</v>
      </c>
      <c r="J74" s="916"/>
      <c r="K74" s="207" t="s">
        <v>713</v>
      </c>
    </row>
    <row r="75" spans="1:11" s="1829" customFormat="1" ht="45" customHeight="1">
      <c r="A75" s="2339"/>
      <c r="B75" s="439" t="s">
        <v>1749</v>
      </c>
      <c r="D75" s="580" t="s">
        <v>518</v>
      </c>
      <c r="E75" s="582" t="s">
        <v>1930</v>
      </c>
      <c r="F75" s="635" t="s">
        <v>298</v>
      </c>
      <c r="G75" s="314"/>
      <c r="H75" s="916"/>
      <c r="I75" s="314" t="s">
        <v>370</v>
      </c>
      <c r="J75" s="916"/>
      <c r="K75" s="207" t="s">
        <v>713</v>
      </c>
    </row>
    <row r="76" spans="1:11" s="1829" customFormat="1" ht="11.25" customHeight="1">
      <c r="A76" s="926"/>
      <c r="B76" s="446"/>
      <c r="D76" s="927"/>
      <c r="E76" s="928"/>
    </row>
    <row r="77" spans="1:11" s="1829" customFormat="1" ht="11.25" hidden="1" customHeight="1">
      <c r="A77" s="2339" t="s">
        <v>394</v>
      </c>
      <c r="B77" s="439"/>
      <c r="D77" s="580">
        <v>1</v>
      </c>
      <c r="E77" s="581" t="s">
        <v>1931</v>
      </c>
      <c r="F77" s="635" t="s">
        <v>1603</v>
      </c>
      <c r="G77" s="638"/>
      <c r="H77" s="916"/>
      <c r="I77" s="638"/>
      <c r="J77" s="916"/>
      <c r="K77" s="207" t="s">
        <v>1932</v>
      </c>
    </row>
    <row r="78" spans="1:11" s="1829" customFormat="1" ht="11.25" hidden="1" customHeight="1">
      <c r="A78" s="2339"/>
      <c r="B78" s="439"/>
      <c r="D78" s="580" t="s">
        <v>109</v>
      </c>
      <c r="E78" s="581" t="s">
        <v>1933</v>
      </c>
      <c r="F78" s="635" t="s">
        <v>1603</v>
      </c>
      <c r="G78" s="638"/>
      <c r="H78" s="916"/>
      <c r="I78" s="638"/>
      <c r="J78" s="916"/>
      <c r="K78" s="207" t="s">
        <v>1934</v>
      </c>
    </row>
    <row r="79" spans="1:11" s="1829" customFormat="1" ht="22.5" hidden="1" customHeight="1">
      <c r="A79" s="2339"/>
      <c r="B79" s="439"/>
      <c r="D79" s="580" t="s">
        <v>89</v>
      </c>
      <c r="E79" s="636" t="s">
        <v>1935</v>
      </c>
      <c r="F79" s="575" t="s">
        <v>1888</v>
      </c>
      <c r="G79" s="638"/>
      <c r="H79" s="916"/>
      <c r="I79" s="638"/>
      <c r="J79" s="916"/>
      <c r="K79" s="207" t="s">
        <v>1936</v>
      </c>
    </row>
    <row r="80" spans="1:11" s="1829" customFormat="1" ht="11.25" hidden="1" customHeight="1">
      <c r="A80" s="2339"/>
      <c r="B80" s="439"/>
      <c r="D80" s="580" t="s">
        <v>318</v>
      </c>
      <c r="E80" s="637" t="s">
        <v>1937</v>
      </c>
      <c r="F80" s="575" t="s">
        <v>1888</v>
      </c>
      <c r="G80" s="638"/>
      <c r="H80" s="916"/>
      <c r="I80" s="638"/>
      <c r="J80" s="916"/>
      <c r="K80" s="207"/>
    </row>
    <row r="81" spans="1:11" s="1829" customFormat="1" ht="11.25" hidden="1" customHeight="1">
      <c r="A81" s="2339"/>
      <c r="B81" s="439"/>
      <c r="D81" s="580" t="s">
        <v>326</v>
      </c>
      <c r="E81" s="637" t="s">
        <v>1938</v>
      </c>
      <c r="F81" s="575" t="s">
        <v>1888</v>
      </c>
      <c r="G81" s="638"/>
      <c r="H81" s="916"/>
      <c r="I81" s="638"/>
      <c r="J81" s="916"/>
      <c r="K81" s="207"/>
    </row>
    <row r="82" spans="1:11" s="1829" customFormat="1" ht="11.25" hidden="1" customHeight="1">
      <c r="A82" s="2339"/>
      <c r="B82" s="439"/>
      <c r="D82" s="580" t="s">
        <v>328</v>
      </c>
      <c r="E82" s="637" t="s">
        <v>1939</v>
      </c>
      <c r="F82" s="575" t="s">
        <v>1888</v>
      </c>
      <c r="G82" s="638"/>
      <c r="H82" s="916"/>
      <c r="I82" s="638"/>
      <c r="J82" s="916"/>
      <c r="K82" s="207"/>
    </row>
    <row r="83" spans="1:11" s="1829" customFormat="1" ht="11.25" hidden="1" customHeight="1">
      <c r="A83" s="2339"/>
      <c r="B83" s="439"/>
      <c r="D83" s="580" t="s">
        <v>330</v>
      </c>
      <c r="E83" s="637" t="s">
        <v>1940</v>
      </c>
      <c r="F83" s="575" t="s">
        <v>1888</v>
      </c>
      <c r="G83" s="638"/>
      <c r="H83" s="916"/>
      <c r="I83" s="638"/>
      <c r="J83" s="916"/>
      <c r="K83" s="207"/>
    </row>
    <row r="84" spans="1:11" s="1829" customFormat="1" ht="11.25" hidden="1" customHeight="1">
      <c r="A84" s="2339"/>
      <c r="B84" s="439"/>
      <c r="D84" s="580" t="s">
        <v>1941</v>
      </c>
      <c r="E84" s="637" t="s">
        <v>1942</v>
      </c>
      <c r="F84" s="575" t="s">
        <v>1888</v>
      </c>
      <c r="G84" s="638"/>
      <c r="H84" s="916"/>
      <c r="I84" s="638"/>
      <c r="J84" s="916"/>
      <c r="K84" s="207"/>
    </row>
    <row r="85" spans="1:11" s="1829" customFormat="1" ht="11.25" hidden="1" customHeight="1">
      <c r="A85" s="2339"/>
      <c r="B85" s="439"/>
      <c r="D85" s="580" t="s">
        <v>1943</v>
      </c>
      <c r="E85" s="637" t="s">
        <v>1944</v>
      </c>
      <c r="F85" s="575" t="s">
        <v>1888</v>
      </c>
      <c r="G85" s="638"/>
      <c r="H85" s="916"/>
      <c r="I85" s="638"/>
      <c r="J85" s="916"/>
      <c r="K85" s="207"/>
    </row>
    <row r="86" spans="1:11" s="1829" customFormat="1" ht="11.25" hidden="1" customHeight="1">
      <c r="A86" s="2339"/>
      <c r="B86" s="439"/>
      <c r="D86" s="580" t="s">
        <v>1945</v>
      </c>
      <c r="E86" s="637" t="s">
        <v>1946</v>
      </c>
      <c r="F86" s="575" t="s">
        <v>1888</v>
      </c>
      <c r="G86" s="638"/>
      <c r="H86" s="916"/>
      <c r="I86" s="638"/>
      <c r="J86" s="916"/>
      <c r="K86" s="207"/>
    </row>
    <row r="87" spans="1:11" s="1829" customFormat="1" ht="45" hidden="1" customHeight="1">
      <c r="A87" s="2339"/>
      <c r="B87" s="439"/>
      <c r="D87" s="580" t="s">
        <v>90</v>
      </c>
      <c r="E87" s="581" t="s">
        <v>1947</v>
      </c>
      <c r="F87" s="575" t="s">
        <v>1888</v>
      </c>
      <c r="G87" s="638"/>
      <c r="H87" s="916"/>
      <c r="I87" s="638"/>
      <c r="J87" s="916"/>
      <c r="K87" s="207" t="s">
        <v>1948</v>
      </c>
    </row>
    <row r="88" spans="1:11" s="1829" customFormat="1" ht="11.25" hidden="1" customHeight="1">
      <c r="A88" s="2339"/>
      <c r="B88" s="439"/>
      <c r="D88" s="580" t="s">
        <v>613</v>
      </c>
      <c r="E88" s="637" t="s">
        <v>1937</v>
      </c>
      <c r="F88" s="575" t="s">
        <v>1888</v>
      </c>
      <c r="G88" s="638"/>
      <c r="H88" s="916"/>
      <c r="I88" s="638"/>
      <c r="J88" s="916"/>
      <c r="K88" s="207"/>
    </row>
    <row r="89" spans="1:11" s="1829" customFormat="1" ht="11.25" hidden="1" customHeight="1">
      <c r="A89" s="2339"/>
      <c r="B89" s="439"/>
      <c r="D89" s="580" t="s">
        <v>632</v>
      </c>
      <c r="E89" s="637" t="s">
        <v>1938</v>
      </c>
      <c r="F89" s="575" t="s">
        <v>1888</v>
      </c>
      <c r="G89" s="638"/>
      <c r="H89" s="916"/>
      <c r="I89" s="638"/>
      <c r="J89" s="916"/>
      <c r="K89" s="207"/>
    </row>
    <row r="90" spans="1:11" s="1829" customFormat="1" ht="11.25" hidden="1" customHeight="1">
      <c r="A90" s="2339"/>
      <c r="B90" s="439"/>
      <c r="D90" s="580" t="s">
        <v>1616</v>
      </c>
      <c r="E90" s="637" t="s">
        <v>1939</v>
      </c>
      <c r="F90" s="575" t="s">
        <v>1888</v>
      </c>
      <c r="G90" s="638"/>
      <c r="H90" s="916"/>
      <c r="I90" s="638"/>
      <c r="J90" s="916"/>
      <c r="K90" s="207"/>
    </row>
    <row r="91" spans="1:11" s="1829" customFormat="1" ht="11.25" hidden="1" customHeight="1">
      <c r="A91" s="2339"/>
      <c r="B91" s="439"/>
      <c r="D91" s="580" t="s">
        <v>1906</v>
      </c>
      <c r="E91" s="637" t="s">
        <v>1940</v>
      </c>
      <c r="F91" s="575" t="s">
        <v>1888</v>
      </c>
      <c r="G91" s="638"/>
      <c r="H91" s="916"/>
      <c r="I91" s="638"/>
      <c r="J91" s="916"/>
      <c r="K91" s="207"/>
    </row>
    <row r="92" spans="1:11" s="1829" customFormat="1" ht="11.25" hidden="1" customHeight="1">
      <c r="A92" s="2339"/>
      <c r="B92" s="439"/>
      <c r="D92" s="580" t="s">
        <v>1908</v>
      </c>
      <c r="E92" s="637" t="s">
        <v>1942</v>
      </c>
      <c r="F92" s="575" t="s">
        <v>1888</v>
      </c>
      <c r="G92" s="638"/>
      <c r="H92" s="916"/>
      <c r="I92" s="638"/>
      <c r="J92" s="916"/>
      <c r="K92" s="207"/>
    </row>
    <row r="93" spans="1:11" s="1829" customFormat="1" ht="11.25" hidden="1" customHeight="1">
      <c r="A93" s="2339"/>
      <c r="B93" s="439"/>
      <c r="D93" s="580" t="s">
        <v>1949</v>
      </c>
      <c r="E93" s="637" t="s">
        <v>1944</v>
      </c>
      <c r="F93" s="575" t="s">
        <v>1888</v>
      </c>
      <c r="G93" s="638"/>
      <c r="H93" s="916"/>
      <c r="I93" s="638"/>
      <c r="J93" s="916"/>
      <c r="K93" s="207"/>
    </row>
    <row r="94" spans="1:11" s="1829" customFormat="1" ht="11.25" hidden="1" customHeight="1">
      <c r="A94" s="2339"/>
      <c r="B94" s="439"/>
      <c r="D94" s="580" t="s">
        <v>1950</v>
      </c>
      <c r="E94" s="637" t="s">
        <v>1946</v>
      </c>
      <c r="F94" s="575" t="s">
        <v>1888</v>
      </c>
      <c r="G94" s="638"/>
      <c r="H94" s="916"/>
      <c r="I94" s="638"/>
      <c r="J94" s="916"/>
      <c r="K94" s="207"/>
    </row>
    <row r="95" spans="1:11" s="1829" customFormat="1" ht="24.75" hidden="1" customHeight="1">
      <c r="A95" s="2339"/>
      <c r="B95" s="439"/>
      <c r="D95" s="580" t="s">
        <v>110</v>
      </c>
      <c r="E95" s="581" t="s">
        <v>1951</v>
      </c>
      <c r="F95" s="639" t="s">
        <v>1620</v>
      </c>
      <c r="G95" s="641"/>
      <c r="H95" s="916"/>
      <c r="I95" s="641"/>
      <c r="J95" s="916"/>
      <c r="K95" s="207" t="s">
        <v>1952</v>
      </c>
    </row>
    <row r="96" spans="1:11" s="1829" customFormat="1" ht="33.75" hidden="1" customHeight="1">
      <c r="A96" s="2339"/>
      <c r="B96" s="439"/>
      <c r="D96" s="580" t="s">
        <v>91</v>
      </c>
      <c r="E96" s="581" t="s">
        <v>1953</v>
      </c>
      <c r="F96" s="640" t="s">
        <v>1615</v>
      </c>
      <c r="G96" s="642"/>
      <c r="H96" s="916"/>
      <c r="I96" s="642"/>
      <c r="J96" s="916"/>
      <c r="K96" s="207"/>
    </row>
    <row r="97" spans="1:11" s="1829" customFormat="1" ht="22.5" hidden="1" customHeight="1">
      <c r="A97" s="2339"/>
      <c r="B97" s="439" t="s">
        <v>1749</v>
      </c>
      <c r="D97" s="580" t="s">
        <v>92</v>
      </c>
      <c r="E97" s="581" t="s">
        <v>1954</v>
      </c>
      <c r="F97" s="640" t="s">
        <v>298</v>
      </c>
      <c r="G97" s="316"/>
      <c r="H97" s="916"/>
      <c r="I97" s="316"/>
      <c r="J97" s="916"/>
      <c r="K97" s="207" t="s">
        <v>713</v>
      </c>
    </row>
    <row r="98" spans="1:11" s="1829" customFormat="1" ht="45" hidden="1" customHeight="1">
      <c r="A98" s="2339"/>
      <c r="B98" s="439" t="s">
        <v>1749</v>
      </c>
      <c r="D98" s="580" t="s">
        <v>1675</v>
      </c>
      <c r="E98" s="582" t="s">
        <v>1955</v>
      </c>
      <c r="F98" s="635" t="s">
        <v>298</v>
      </c>
      <c r="G98" s="316"/>
      <c r="H98" s="916"/>
      <c r="I98" s="316"/>
      <c r="J98" s="916"/>
      <c r="K98" s="207" t="s">
        <v>713</v>
      </c>
    </row>
    <row r="99" spans="1:11" s="1829" customFormat="1" ht="95.25" hidden="1" customHeight="1">
      <c r="A99" s="2339"/>
      <c r="B99" s="439" t="s">
        <v>1749</v>
      </c>
      <c r="D99" s="580" t="s">
        <v>111</v>
      </c>
      <c r="E99" s="581" t="s">
        <v>1956</v>
      </c>
      <c r="F99" s="635" t="s">
        <v>298</v>
      </c>
      <c r="G99" s="316"/>
      <c r="H99" s="916"/>
      <c r="I99" s="316"/>
      <c r="J99" s="916"/>
      <c r="K99" s="207" t="s">
        <v>713</v>
      </c>
    </row>
    <row r="100" spans="1:11" s="1829" customFormat="1" ht="22.5" hidden="1" customHeight="1">
      <c r="A100" s="2339"/>
      <c r="B100" s="439" t="s">
        <v>1749</v>
      </c>
      <c r="D100" s="580" t="s">
        <v>149</v>
      </c>
      <c r="E100" s="581" t="s">
        <v>1957</v>
      </c>
      <c r="F100" s="635" t="s">
        <v>298</v>
      </c>
      <c r="G100" s="316"/>
      <c r="H100" s="916"/>
      <c r="I100" s="316"/>
      <c r="J100" s="916"/>
      <c r="K100" s="207" t="s">
        <v>713</v>
      </c>
    </row>
    <row r="101" spans="1:11" s="1829" customFormat="1" ht="11.25" customHeight="1">
      <c r="A101" s="926"/>
      <c r="B101" s="446"/>
      <c r="D101" s="927"/>
      <c r="E101" s="928"/>
    </row>
  </sheetData>
  <sheetProtection formatColumns="0" formatRows="0" insertRows="0" deleteColumns="0" deleteRows="0" sort="0" autoFilter="0"/>
  <mergeCells count="18">
    <mergeCell ref="A37:A63"/>
    <mergeCell ref="A65:A75"/>
    <mergeCell ref="A77:A100"/>
    <mergeCell ref="A13:A35"/>
    <mergeCell ref="A11:B11"/>
    <mergeCell ref="D3:F3"/>
    <mergeCell ref="K7:K11"/>
    <mergeCell ref="G7:H7"/>
    <mergeCell ref="E7:F7"/>
    <mergeCell ref="E8:F8"/>
    <mergeCell ref="E9:F9"/>
    <mergeCell ref="G8:H8"/>
    <mergeCell ref="G9:H9"/>
    <mergeCell ref="D4:F4"/>
    <mergeCell ref="I7:J7"/>
    <mergeCell ref="I8:J8"/>
    <mergeCell ref="I9:J9"/>
    <mergeCell ref="D10:J10"/>
  </mergeCells>
  <dataValidations count="6">
    <dataValidation type="textLength" operator="lessThanOrEqual" allowBlank="1" showInputMessage="1" showErrorMessage="1" errorTitle="Ошибка" error="Допускается ввод не более 900 символов!" sqref="H21:H22 H29:H30 H24 H26:H27 H15:H18 J26:J27 J15:J18 J21:J22 J29:J30 J24">
      <formula1>900</formula1>
    </dataValidation>
    <dataValidation type="whole" allowBlank="1" showErrorMessage="1" errorTitle="Ошибка" error="Допускается ввод только неотрицательных целых чисел!" sqref="G16:G17 I16:I17">
      <formula1>0</formula1>
      <formula2>9.99999999999999E+23</formula2>
    </dataValidation>
    <dataValidation type="decimal" allowBlank="1" showErrorMessage="1" errorTitle="Ошибка" error="Допускается ввод только неотрицательных чисел!" sqref="G32 G67:G68 G39:G40 G37 G44:G59 G61 G77:G94 G73 G71 G96 G65 G18 G13:G14 G29:G30 G26:G27 I32 I67:I68 I39:I40 I37 I44:I59 I61 I77:I94 I73 I71 I96 I65 I18 I13:I14 I29:I30 I26:I27">
      <formula1>0</formula1>
      <formula2>9.99999999999999E+23</formula2>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Мониторинг&quot;." sqref="G74:G75 G62:G63 G97:G100 H19 H13:H14 H31:H32 I74:I75 I62:I63 I97:I100 J19 J13:J14 J31:J32">
      <formula1>900</formula1>
    </dataValidation>
    <dataValidation type="decimal" allowBlank="1" showErrorMessage="1" errorTitle="Ошибка" error="Введите значение от 0 до 100%" sqref="G31 G95 G60 G72 G42:G43 G69:G70 I31 I95 I60 I72 I42:I43 I69:I70">
      <formula1>0</formula1>
      <formula2>100</formula2>
    </dataValidation>
    <dataValidation type="list" allowBlank="1" showInputMessage="1" errorTitle="Ошибка" error="Укажите значение вручную или выберите из списка!" prompt="Укажите значение вручную или выберите из списка" sqref="G19 I19">
      <formula1>"Не утверждены"</formula1>
    </dataValidation>
  </dataValidations>
  <hyperlinks>
    <hyperlink ref="I74" r:id="rId1" tooltip="Кликните по гиперссылке, чтобы перейти по ней или отредактировать её"/>
    <hyperlink ref="I75" r:id="rId2" tooltip="Кликните по гиперссылке, чтобы перейти по ней или отредактировать её"/>
  </hyperlinks>
  <printOptions horizontalCentered="1"/>
  <pageMargins left="0.19685039370078741" right="0.19685039370078741" top="0.59055118110236227" bottom="0.39370078740157483" header="0.31496062992125984" footer="0.31496062992125984"/>
  <pageSetup paperSize="9" scale="64" orientation="landscape" r:id="rId3"/>
  <headerFooter>
    <oddHeader>&amp;L&amp;C&amp;R</oddHeader>
    <oddFooter>&amp;L&amp;C&amp;R</oddFooter>
    <evenHeader>&amp;L&amp;C&amp;R</evenHeader>
    <evenFooter>&amp;L&amp;C&amp;R</evenFooter>
  </headerFooter>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tint="-0.249977111117893"/>
  </sheetPr>
  <dimension ref="A1:AD15"/>
  <sheetViews>
    <sheetView showGridLines="0" topLeftCell="E4" zoomScale="85" workbookViewId="0"/>
  </sheetViews>
  <sheetFormatPr defaultColWidth="9.140625" defaultRowHeight="10.5" customHeight="1"/>
  <cols>
    <col min="1" max="3" width="6.7109375" style="1804" hidden="1" customWidth="1"/>
    <col min="4" max="4" width="6.7109375" style="1742" hidden="1" customWidth="1"/>
    <col min="5" max="5" width="3.7109375" style="1829" customWidth="1"/>
    <col min="6" max="6" width="6.28515625" style="1829" customWidth="1"/>
    <col min="7" max="7" width="37.7109375" style="1829" customWidth="1"/>
    <col min="8" max="8" width="16.5703125" style="1829" customWidth="1"/>
    <col min="9" max="10" width="19.7109375" style="1829" customWidth="1"/>
    <col min="11" max="11" width="25" style="1829" customWidth="1"/>
    <col min="12" max="13" width="25.7109375" style="1829" customWidth="1"/>
    <col min="14" max="16" width="17.7109375" style="1829" customWidth="1"/>
    <col min="17" max="24" width="19.7109375" style="1829" customWidth="1"/>
    <col min="25" max="25" width="8" style="1829" customWidth="1"/>
    <col min="26" max="26" width="3.28515625" style="1829" customWidth="1"/>
    <col min="27" max="27" width="6.28515625" style="1829" customWidth="1"/>
    <col min="28" max="28" width="34.140625" style="1829" customWidth="1"/>
    <col min="29" max="30" width="9.140625" style="1829"/>
  </cols>
  <sheetData>
    <row r="1" spans="1:30" s="1742" customFormat="1" ht="10.5" hidden="1" customHeight="1">
      <c r="A1" s="792"/>
      <c r="B1" s="792"/>
      <c r="C1" s="792"/>
      <c r="E1" s="464"/>
      <c r="H1" s="1034"/>
    </row>
    <row r="2" spans="1:30" ht="10.5" hidden="1" customHeight="1"/>
    <row r="3" spans="1:30" s="1721" customFormat="1" ht="10.5" hidden="1" customHeight="1">
      <c r="A3" s="792"/>
      <c r="B3" s="792"/>
      <c r="C3" s="792"/>
      <c r="D3" s="352"/>
      <c r="E3" s="288"/>
      <c r="H3" s="1030"/>
    </row>
    <row r="4" spans="1:30" ht="3" customHeight="1"/>
    <row r="5" spans="1:30" ht="30" customHeight="1">
      <c r="F5" s="2299" t="s">
        <v>1958</v>
      </c>
      <c r="G5" s="2299"/>
      <c r="H5" s="2299"/>
      <c r="I5" s="2299"/>
      <c r="J5" s="2299"/>
      <c r="K5" s="2299"/>
      <c r="M5" s="509"/>
      <c r="AB5" s="806"/>
    </row>
    <row r="6" spans="1:30" s="1829" customFormat="1" ht="15.75" customHeight="1">
      <c r="A6" s="1040"/>
      <c r="B6" s="1040"/>
      <c r="C6" s="1040"/>
      <c r="D6" s="1034"/>
      <c r="E6" s="1494"/>
      <c r="F6" s="2099" t="str">
        <f>IF(org=0,"Не определено",org)</f>
        <v>МУП г. Астрахани "Коммунэнерго"</v>
      </c>
      <c r="G6" s="2099"/>
      <c r="H6" s="2099"/>
      <c r="I6" s="2099"/>
      <c r="J6" s="2099"/>
      <c r="K6" s="2099"/>
      <c r="M6" s="509"/>
      <c r="AB6" s="1023"/>
    </row>
    <row r="8" spans="1:30" ht="10.5" customHeight="1">
      <c r="A8" s="937"/>
      <c r="B8" s="937"/>
      <c r="C8" s="937"/>
      <c r="F8" s="1989" t="s">
        <v>292</v>
      </c>
      <c r="G8" s="1994"/>
      <c r="H8" s="1994"/>
      <c r="I8" s="1994"/>
      <c r="J8" s="1994"/>
      <c r="K8" s="1994"/>
      <c r="L8" s="1994"/>
      <c r="M8" s="1994"/>
      <c r="N8" s="1994"/>
      <c r="O8" s="1994"/>
      <c r="P8" s="1994"/>
      <c r="Q8" s="1994"/>
      <c r="R8" s="1994"/>
      <c r="S8" s="1994"/>
      <c r="T8" s="1994"/>
      <c r="U8" s="1994"/>
      <c r="V8" s="1994"/>
      <c r="W8" s="1994"/>
      <c r="X8" s="1994"/>
      <c r="Y8" s="1994"/>
      <c r="Z8" s="1994"/>
      <c r="AA8" s="1994"/>
      <c r="AB8" s="1988"/>
    </row>
    <row r="9" spans="1:30" ht="41.25" customHeight="1">
      <c r="A9" s="805"/>
      <c r="B9" s="805"/>
      <c r="C9" s="805"/>
      <c r="F9" s="2007" t="s">
        <v>87</v>
      </c>
      <c r="G9" s="2007" t="s">
        <v>1959</v>
      </c>
      <c r="H9" s="2066" t="s">
        <v>1960</v>
      </c>
      <c r="I9" s="2007" t="s">
        <v>1961</v>
      </c>
      <c r="J9" s="2007" t="s">
        <v>1962</v>
      </c>
      <c r="K9" s="2007" t="s">
        <v>1963</v>
      </c>
      <c r="L9" s="2007" t="s">
        <v>1964</v>
      </c>
      <c r="M9" s="2007" t="s">
        <v>1965</v>
      </c>
      <c r="N9" s="2342" t="s">
        <v>1966</v>
      </c>
      <c r="O9" s="2342"/>
      <c r="P9" s="2342"/>
      <c r="Q9" s="2234" t="s">
        <v>1967</v>
      </c>
      <c r="R9" s="2235"/>
      <c r="S9" s="2235"/>
      <c r="T9" s="2236"/>
      <c r="U9" s="2234" t="s">
        <v>1968</v>
      </c>
      <c r="V9" s="2235"/>
      <c r="W9" s="2235"/>
      <c r="X9" s="2236"/>
      <c r="Y9" s="1989" t="s">
        <v>1969</v>
      </c>
      <c r="Z9" s="1994"/>
      <c r="AA9" s="1994"/>
      <c r="AB9" s="1988"/>
    </row>
    <row r="10" spans="1:30" ht="41.25" customHeight="1">
      <c r="A10" s="805"/>
      <c r="B10" s="805"/>
      <c r="C10" s="805"/>
      <c r="F10" s="2066"/>
      <c r="G10" s="2066"/>
      <c r="H10" s="2122"/>
      <c r="I10" s="2066"/>
      <c r="J10" s="2066"/>
      <c r="K10" s="2066"/>
      <c r="L10" s="2066"/>
      <c r="M10" s="2066"/>
      <c r="N10" s="803" t="s">
        <v>1970</v>
      </c>
      <c r="O10" s="803" t="s">
        <v>1971</v>
      </c>
      <c r="P10" s="804" t="s">
        <v>1972</v>
      </c>
      <c r="Q10" s="815" t="s">
        <v>88</v>
      </c>
      <c r="R10" s="815" t="s">
        <v>1973</v>
      </c>
      <c r="S10" s="815" t="s">
        <v>1974</v>
      </c>
      <c r="T10" s="816" t="s">
        <v>1975</v>
      </c>
      <c r="U10" s="815" t="s">
        <v>88</v>
      </c>
      <c r="V10" s="815" t="s">
        <v>1976</v>
      </c>
      <c r="W10" s="815" t="s">
        <v>1974</v>
      </c>
      <c r="X10" s="816" t="s">
        <v>1975</v>
      </c>
      <c r="Y10" s="219" t="s">
        <v>1977</v>
      </c>
      <c r="Z10" s="1989" t="s">
        <v>87</v>
      </c>
      <c r="AA10" s="1988"/>
      <c r="AB10" s="935" t="s">
        <v>1978</v>
      </c>
    </row>
    <row r="11" spans="1:30" s="1755" customFormat="1" ht="5.25" hidden="1" customHeight="1">
      <c r="A11" s="938"/>
      <c r="B11" s="938"/>
      <c r="C11" s="938"/>
      <c r="E11" s="936"/>
      <c r="F11" s="2208" t="s">
        <v>370</v>
      </c>
      <c r="G11" s="2292"/>
      <c r="H11" s="2340"/>
      <c r="I11" s="2340"/>
      <c r="J11" s="2340"/>
      <c r="K11" s="2343"/>
      <c r="L11" s="2343"/>
      <c r="M11" s="2343"/>
      <c r="N11" s="2340"/>
      <c r="O11" s="2340"/>
      <c r="P11" s="2007"/>
      <c r="Q11" s="2076"/>
      <c r="R11" s="2076"/>
      <c r="S11" s="2076"/>
      <c r="T11" s="2340"/>
      <c r="U11" s="2076"/>
      <c r="V11" s="2076"/>
      <c r="W11" s="2076"/>
      <c r="X11" s="2340"/>
      <c r="Y11" s="2018"/>
      <c r="Z11" s="2018"/>
      <c r="AA11" s="2018"/>
      <c r="AB11" s="2018"/>
      <c r="AD11" s="439" t="s">
        <v>1979</v>
      </c>
    </row>
    <row r="12" spans="1:30" s="1755" customFormat="1" ht="5.25" hidden="1" customHeight="1">
      <c r="A12" s="793"/>
      <c r="B12" s="793"/>
      <c r="C12" s="793"/>
      <c r="E12" s="446"/>
      <c r="F12" s="2208"/>
      <c r="G12" s="2292"/>
      <c r="H12" s="2340"/>
      <c r="I12" s="2340"/>
      <c r="J12" s="2340"/>
      <c r="K12" s="2343"/>
      <c r="L12" s="2343"/>
      <c r="M12" s="2343"/>
      <c r="N12" s="2340"/>
      <c r="O12" s="2340"/>
      <c r="P12" s="2007"/>
      <c r="Q12" s="2076"/>
      <c r="R12" s="2076"/>
      <c r="S12" s="2076"/>
      <c r="T12" s="2340"/>
      <c r="U12" s="2076"/>
      <c r="V12" s="2076"/>
      <c r="W12" s="2076"/>
      <c r="X12" s="2340"/>
      <c r="Y12" s="2341"/>
      <c r="Z12" s="2341"/>
      <c r="AA12" s="2341"/>
      <c r="AB12" s="2341"/>
    </row>
    <row r="13" spans="1:30" ht="10.5" customHeight="1">
      <c r="F13" s="802"/>
      <c r="G13" s="566" t="s">
        <v>1980</v>
      </c>
      <c r="H13" s="1042"/>
      <c r="I13" s="499"/>
      <c r="J13" s="499"/>
      <c r="K13" s="499"/>
      <c r="L13" s="499"/>
      <c r="M13" s="499"/>
      <c r="N13" s="499"/>
      <c r="O13" s="499"/>
      <c r="P13" s="499"/>
      <c r="Q13" s="499"/>
      <c r="R13" s="499"/>
      <c r="S13" s="499"/>
      <c r="T13" s="499"/>
      <c r="U13" s="499"/>
      <c r="V13" s="499"/>
      <c r="W13" s="499"/>
      <c r="X13" s="499"/>
      <c r="Y13" s="499"/>
      <c r="Z13" s="610"/>
      <c r="AA13" s="610"/>
      <c r="AB13" s="817"/>
    </row>
    <row r="15" spans="1:30" s="1755" customFormat="1" ht="10.5" customHeight="1">
      <c r="A15" s="1041"/>
      <c r="B15" s="1041"/>
      <c r="C15" s="1041"/>
      <c r="E15" s="446"/>
      <c r="H15" s="439">
        <f>IFERROR(MATCH("нет",IP_MAIN_DIFFERENTIATION_EVENTS_FLAG,0),0)</f>
        <v>0</v>
      </c>
    </row>
  </sheetData>
  <sheetProtection formatColumns="0" formatRows="0" insertRows="0" deleteColumns="0" deleteRows="0" sort="0" autoFilter="0"/>
  <mergeCells count="39">
    <mergeCell ref="F6:K6"/>
    <mergeCell ref="F8:AB8"/>
    <mergeCell ref="U9:X9"/>
    <mergeCell ref="U11:U12"/>
    <mergeCell ref="V11:V12"/>
    <mergeCell ref="W11:W12"/>
    <mergeCell ref="X11:X12"/>
    <mergeCell ref="Q9:T9"/>
    <mergeCell ref="I11:I12"/>
    <mergeCell ref="G11:G12"/>
    <mergeCell ref="T11:T12"/>
    <mergeCell ref="S11:S12"/>
    <mergeCell ref="H9:H10"/>
    <mergeCell ref="H11:H12"/>
    <mergeCell ref="Q11:Q12"/>
    <mergeCell ref="R11:R12"/>
    <mergeCell ref="J9:J10"/>
    <mergeCell ref="K11:K12"/>
    <mergeCell ref="Z11:Z12"/>
    <mergeCell ref="Y9:AB9"/>
    <mergeCell ref="AB11:AB12"/>
    <mergeCell ref="Z10:AA10"/>
    <mergeCell ref="AA11:AA12"/>
    <mergeCell ref="F5:K5"/>
    <mergeCell ref="N11:N12"/>
    <mergeCell ref="O11:O12"/>
    <mergeCell ref="P11:P12"/>
    <mergeCell ref="Y11:Y12"/>
    <mergeCell ref="N9:P9"/>
    <mergeCell ref="M9:M10"/>
    <mergeCell ref="F9:F10"/>
    <mergeCell ref="G9:G10"/>
    <mergeCell ref="I9:I10"/>
    <mergeCell ref="K9:K10"/>
    <mergeCell ref="L9:L10"/>
    <mergeCell ref="F11:F12"/>
    <mergeCell ref="M11:M12"/>
    <mergeCell ref="L11:L12"/>
    <mergeCell ref="J11:J12"/>
  </mergeCells>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tint="-0.249977111117893"/>
  </sheetPr>
  <dimension ref="A1:BF19"/>
  <sheetViews>
    <sheetView showGridLines="0" topLeftCell="E4" zoomScale="90" workbookViewId="0"/>
  </sheetViews>
  <sheetFormatPr defaultColWidth="9.140625" defaultRowHeight="10.5" customHeight="1"/>
  <cols>
    <col min="1" max="3" width="4.140625" style="1804" hidden="1" customWidth="1"/>
    <col min="4" max="4" width="4.140625" style="1742" hidden="1" customWidth="1"/>
    <col min="5" max="5" width="3.7109375" style="1829" customWidth="1"/>
    <col min="6" max="6" width="14.42578125" style="1829" customWidth="1"/>
    <col min="7" max="7" width="3.7109375" style="1829" customWidth="1"/>
    <col min="8" max="8" width="7.7109375" style="1829" customWidth="1"/>
    <col min="9" max="10" width="16.7109375" style="1829" customWidth="1"/>
    <col min="11" max="11" width="25.7109375" style="1829" customWidth="1"/>
    <col min="12" max="12" width="8" style="1829" customWidth="1"/>
    <col min="13" max="13" width="15.5703125" style="1829" customWidth="1"/>
    <col min="14" max="14" width="3.28515625" style="1829" customWidth="1"/>
    <col min="15" max="15" width="4.7109375" style="1829" customWidth="1"/>
    <col min="16" max="16" width="9" style="1829" customWidth="1"/>
    <col min="17" max="17" width="21.7109375" style="1829" customWidth="1"/>
    <col min="18" max="18" width="14.7109375" style="1829" customWidth="1"/>
    <col min="19" max="20" width="17.7109375" style="1829" customWidth="1"/>
    <col min="21" max="21" width="9.7109375" style="1829" customWidth="1"/>
    <col min="22" max="22" width="12.7109375" style="1829" customWidth="1"/>
    <col min="23" max="23" width="9.7109375" style="1829" customWidth="1"/>
    <col min="24" max="24" width="21.7109375" style="1829" customWidth="1"/>
    <col min="25" max="25" width="12.7109375" style="1829" customWidth="1"/>
    <col min="26" max="26" width="3.28515625" style="1829" customWidth="1"/>
    <col min="27" max="27" width="7.140625" style="1829" customWidth="1"/>
    <col min="28" max="28" width="38.42578125" style="1829" customWidth="1"/>
    <col min="29" max="29" width="15.7109375" style="1829" customWidth="1"/>
    <col min="30" max="30" width="37.5703125" style="1829" customWidth="1"/>
    <col min="31" max="31" width="15.7109375" style="1829" customWidth="1"/>
    <col min="32" max="37" width="16.7109375" style="1829" customWidth="1"/>
    <col min="38" max="58" width="9.140625" style="1829"/>
  </cols>
  <sheetData>
    <row r="1" spans="1:58" s="1742" customFormat="1" ht="10.5" hidden="1" customHeight="1">
      <c r="A1" s="792"/>
      <c r="B1" s="792"/>
      <c r="C1" s="792"/>
      <c r="E1" s="464"/>
      <c r="H1" s="1034"/>
      <c r="L1" s="1005"/>
      <c r="M1" s="1005"/>
      <c r="AD1" s="1005"/>
      <c r="AH1" s="1022"/>
      <c r="AI1" s="1016"/>
    </row>
    <row r="2" spans="1:58" ht="10.5" hidden="1" customHeight="1"/>
    <row r="3" spans="1:58" s="1721" customFormat="1" ht="10.5" hidden="1" customHeight="1">
      <c r="A3" s="792"/>
      <c r="B3" s="792"/>
      <c r="C3" s="792"/>
      <c r="D3" s="352"/>
      <c r="E3" s="288"/>
      <c r="H3" s="1030"/>
      <c r="L3" s="1003"/>
      <c r="M3" s="1003"/>
      <c r="AD3" s="1003"/>
      <c r="AH3" s="1020"/>
      <c r="AI3" s="1014"/>
    </row>
    <row r="4" spans="1:58" ht="3" customHeight="1"/>
    <row r="5" spans="1:58" ht="30" customHeight="1">
      <c r="F5" s="2299" t="s">
        <v>1958</v>
      </c>
      <c r="G5" s="2299"/>
      <c r="H5" s="2299"/>
      <c r="I5" s="2299"/>
      <c r="J5" s="2299"/>
      <c r="K5" s="2299"/>
      <c r="L5" s="1012"/>
      <c r="M5" s="1012"/>
      <c r="AG5" s="806"/>
      <c r="AH5" s="1023"/>
    </row>
    <row r="6" spans="1:58" ht="10.5" customHeight="1">
      <c r="F6" s="2099" t="str">
        <f>IF(org=0,"Не определено",org)</f>
        <v>МУП г. Астрахани "Коммунэнерго"</v>
      </c>
      <c r="G6" s="2099"/>
      <c r="H6" s="2099"/>
      <c r="I6" s="2099"/>
      <c r="J6" s="2099"/>
      <c r="K6" s="2099"/>
      <c r="L6" s="1013"/>
      <c r="M6" s="1013"/>
    </row>
    <row r="7" spans="1:58" ht="11.25" customHeight="1">
      <c r="E7" s="808"/>
      <c r="F7" s="819"/>
      <c r="G7" s="819"/>
      <c r="H7" s="1055"/>
      <c r="I7" s="819"/>
      <c r="J7" s="819"/>
      <c r="K7" s="821"/>
      <c r="L7" s="1010"/>
      <c r="M7" s="1010"/>
      <c r="N7" s="819"/>
      <c r="O7" s="819"/>
      <c r="P7" s="819"/>
      <c r="Q7" s="821"/>
      <c r="R7" s="819"/>
      <c r="S7" s="819"/>
      <c r="T7" s="819"/>
      <c r="U7" s="819"/>
      <c r="V7" s="819"/>
      <c r="W7" s="819"/>
      <c r="X7" s="819"/>
      <c r="Y7" s="819"/>
      <c r="Z7" s="819"/>
      <c r="AA7" s="819"/>
      <c r="AB7" s="819"/>
      <c r="AC7" s="820"/>
      <c r="AD7" s="1009"/>
      <c r="AE7" s="820"/>
      <c r="AF7" s="819"/>
      <c r="AG7" s="819"/>
      <c r="AH7" s="1025"/>
      <c r="AI7" s="1019"/>
      <c r="AJ7" s="819"/>
      <c r="AK7" s="819"/>
      <c r="AL7" s="810"/>
      <c r="AM7" s="810"/>
      <c r="AN7" s="810"/>
      <c r="AO7" s="807"/>
      <c r="AP7" s="807"/>
      <c r="AQ7" s="807"/>
      <c r="AR7" s="807"/>
      <c r="AS7" s="807"/>
      <c r="AT7" s="807"/>
      <c r="AU7" s="807"/>
      <c r="AV7" s="807"/>
      <c r="AW7" s="807"/>
      <c r="AX7" s="807"/>
      <c r="AY7" s="807"/>
      <c r="AZ7" s="807"/>
      <c r="BA7" s="807"/>
      <c r="BB7" s="807"/>
      <c r="BC7" s="807"/>
      <c r="BD7" s="807"/>
      <c r="BE7" s="807"/>
      <c r="BF7" s="807"/>
    </row>
    <row r="8" spans="1:58" ht="10.5" customHeight="1">
      <c r="E8" s="808"/>
      <c r="F8" s="2350" t="s">
        <v>292</v>
      </c>
      <c r="G8" s="2351"/>
      <c r="H8" s="2351"/>
      <c r="I8" s="2351"/>
      <c r="J8" s="2351"/>
      <c r="K8" s="2351"/>
      <c r="L8" s="2351"/>
      <c r="M8" s="2351"/>
      <c r="N8" s="2351"/>
      <c r="O8" s="2351"/>
      <c r="P8" s="2351"/>
      <c r="Q8" s="2351"/>
      <c r="R8" s="2351"/>
      <c r="S8" s="2351"/>
      <c r="T8" s="2351"/>
      <c r="U8" s="2351"/>
      <c r="V8" s="2351"/>
      <c r="W8" s="2351"/>
      <c r="X8" s="2351"/>
      <c r="Y8" s="2351"/>
      <c r="Z8" s="2351"/>
      <c r="AA8" s="2351"/>
      <c r="AB8" s="2351"/>
      <c r="AC8" s="2351"/>
      <c r="AD8" s="2351"/>
      <c r="AE8" s="2351"/>
      <c r="AF8" s="2351"/>
      <c r="AG8" s="2351"/>
      <c r="AH8" s="2351"/>
      <c r="AI8" s="2351"/>
      <c r="AJ8" s="2351"/>
      <c r="AK8" s="2352"/>
      <c r="AL8" s="809"/>
      <c r="AM8" s="807"/>
      <c r="AN8" s="807"/>
      <c r="AO8" s="807"/>
      <c r="AP8" s="807"/>
      <c r="AQ8" s="807"/>
      <c r="AR8" s="807"/>
      <c r="AS8" s="807"/>
      <c r="AT8" s="807"/>
      <c r="AU8" s="807"/>
      <c r="AV8" s="807"/>
      <c r="AW8" s="807"/>
      <c r="AX8" s="807"/>
      <c r="AY8" s="807"/>
      <c r="AZ8" s="807"/>
      <c r="BA8" s="807"/>
      <c r="BB8" s="807"/>
      <c r="BC8" s="807"/>
      <c r="BD8" s="807"/>
      <c r="BE8" s="807"/>
      <c r="BF8" s="807"/>
    </row>
    <row r="9" spans="1:58" ht="23.25" customHeight="1">
      <c r="A9" s="805"/>
      <c r="B9" s="805"/>
      <c r="C9" s="805"/>
      <c r="E9" s="808"/>
      <c r="F9" s="2097" t="s">
        <v>1981</v>
      </c>
      <c r="G9" s="2345" t="s">
        <v>1982</v>
      </c>
      <c r="H9" s="2346"/>
      <c r="I9" s="2007" t="s">
        <v>1983</v>
      </c>
      <c r="J9" s="2007"/>
      <c r="K9" s="2007" t="s">
        <v>1984</v>
      </c>
      <c r="L9" s="2007"/>
      <c r="M9" s="2007"/>
      <c r="N9" s="2007"/>
      <c r="O9" s="2007"/>
      <c r="P9" s="2007"/>
      <c r="Q9" s="2007"/>
      <c r="R9" s="2007"/>
      <c r="S9" s="2007"/>
      <c r="T9" s="2007"/>
      <c r="U9" s="2007"/>
      <c r="V9" s="2007"/>
      <c r="W9" s="2007"/>
      <c r="X9" s="2007"/>
      <c r="Y9" s="2007"/>
      <c r="Z9" s="2067" t="s">
        <v>1985</v>
      </c>
      <c r="AA9" s="2068"/>
      <c r="AB9" s="2007" t="s">
        <v>1986</v>
      </c>
      <c r="AC9" s="2007"/>
      <c r="AD9" s="2007"/>
      <c r="AE9" s="2007"/>
      <c r="AF9" s="2066" t="s">
        <v>1987</v>
      </c>
      <c r="AG9" s="2007" t="s">
        <v>1988</v>
      </c>
      <c r="AH9" s="2007"/>
      <c r="AI9" s="2066" t="s">
        <v>1989</v>
      </c>
      <c r="AJ9" s="2007" t="s">
        <v>1990</v>
      </c>
      <c r="AK9" s="2007"/>
      <c r="AL9" s="1018"/>
      <c r="AM9" s="807"/>
      <c r="AN9" s="807"/>
      <c r="AO9" s="807"/>
      <c r="AP9" s="807"/>
      <c r="AQ9" s="807"/>
      <c r="AR9" s="807"/>
      <c r="AS9" s="807"/>
      <c r="AT9" s="807"/>
      <c r="AU9" s="807"/>
      <c r="AV9" s="807"/>
      <c r="AW9" s="807"/>
      <c r="AX9" s="807"/>
      <c r="AY9" s="807"/>
      <c r="AZ9" s="807"/>
      <c r="BA9" s="807"/>
      <c r="BB9" s="807"/>
      <c r="BC9" s="807"/>
      <c r="BD9" s="807"/>
      <c r="BE9" s="807"/>
      <c r="BF9" s="807"/>
    </row>
    <row r="10" spans="1:58" ht="23.25" customHeight="1">
      <c r="A10" s="805"/>
      <c r="B10" s="805"/>
      <c r="C10" s="805"/>
      <c r="E10" s="812"/>
      <c r="F10" s="2097"/>
      <c r="G10" s="2347"/>
      <c r="H10" s="2098"/>
      <c r="I10" s="2007"/>
      <c r="J10" s="2007"/>
      <c r="K10" s="2007" t="s">
        <v>1991</v>
      </c>
      <c r="L10" s="1989" t="s">
        <v>1992</v>
      </c>
      <c r="M10" s="1988"/>
      <c r="N10" s="2007" t="s">
        <v>1993</v>
      </c>
      <c r="O10" s="2007"/>
      <c r="P10" s="2007"/>
      <c r="Q10" s="2007"/>
      <c r="R10" s="2007"/>
      <c r="S10" s="2007"/>
      <c r="T10" s="2007"/>
      <c r="U10" s="2007"/>
      <c r="V10" s="2007"/>
      <c r="W10" s="2007"/>
      <c r="X10" s="2007"/>
      <c r="Y10" s="2007"/>
      <c r="Z10" s="2069"/>
      <c r="AA10" s="2070"/>
      <c r="AB10" s="2007"/>
      <c r="AC10" s="2007"/>
      <c r="AD10" s="2007"/>
      <c r="AE10" s="2007"/>
      <c r="AF10" s="2071"/>
      <c r="AG10" s="2007"/>
      <c r="AH10" s="2007"/>
      <c r="AI10" s="2071"/>
      <c r="AJ10" s="2007"/>
      <c r="AK10" s="2007"/>
      <c r="AL10" s="1018"/>
      <c r="AM10" s="813"/>
      <c r="AN10" s="813"/>
      <c r="AO10" s="813"/>
      <c r="AP10" s="813"/>
      <c r="AQ10" s="813"/>
      <c r="AR10" s="813"/>
      <c r="AS10" s="813"/>
      <c r="AT10" s="813"/>
      <c r="AU10" s="813"/>
      <c r="AV10" s="813"/>
      <c r="AW10" s="813"/>
      <c r="AX10" s="813"/>
      <c r="AY10" s="813"/>
      <c r="AZ10" s="813"/>
      <c r="BA10" s="813"/>
      <c r="BB10" s="813"/>
      <c r="BC10" s="813"/>
      <c r="BD10" s="813"/>
      <c r="BE10" s="813"/>
      <c r="BF10" s="813"/>
    </row>
    <row r="11" spans="1:58" s="1829" customFormat="1" ht="23.25" customHeight="1">
      <c r="A11" s="1006"/>
      <c r="B11" s="1006"/>
      <c r="C11" s="1006"/>
      <c r="D11" s="1005"/>
      <c r="E11" s="1007"/>
      <c r="F11" s="2097"/>
      <c r="G11" s="2347"/>
      <c r="H11" s="2098"/>
      <c r="I11" s="2007"/>
      <c r="J11" s="2007"/>
      <c r="K11" s="2007"/>
      <c r="L11" s="2066" t="s">
        <v>1994</v>
      </c>
      <c r="M11" s="2066" t="s">
        <v>1995</v>
      </c>
      <c r="N11" s="2007" t="s">
        <v>1996</v>
      </c>
      <c r="O11" s="2007"/>
      <c r="P11" s="2064" t="s">
        <v>1977</v>
      </c>
      <c r="Q11" s="2064" t="s">
        <v>1997</v>
      </c>
      <c r="R11" s="2064" t="s">
        <v>1998</v>
      </c>
      <c r="S11" s="2064" t="s">
        <v>1999</v>
      </c>
      <c r="T11" s="2064"/>
      <c r="U11" s="2064"/>
      <c r="V11" s="2064"/>
      <c r="W11" s="2064"/>
      <c r="X11" s="2064"/>
      <c r="Y11" s="2064"/>
      <c r="Z11" s="2069"/>
      <c r="AA11" s="2070"/>
      <c r="AB11" s="2007" t="s">
        <v>2000</v>
      </c>
      <c r="AC11" s="2007"/>
      <c r="AD11" s="1989" t="s">
        <v>2001</v>
      </c>
      <c r="AE11" s="1988"/>
      <c r="AF11" s="2071"/>
      <c r="AG11" s="2007"/>
      <c r="AH11" s="2007"/>
      <c r="AI11" s="2071"/>
      <c r="AJ11" s="2007"/>
      <c r="AK11" s="2007"/>
      <c r="AL11" s="1018"/>
      <c r="AM11" s="1004"/>
      <c r="AN11" s="1004"/>
      <c r="AO11" s="1004"/>
      <c r="AP11" s="1004"/>
      <c r="AQ11" s="1004"/>
      <c r="AR11" s="1004"/>
      <c r="AS11" s="1004"/>
      <c r="AT11" s="1004"/>
      <c r="AU11" s="1004"/>
      <c r="AV11" s="1004"/>
      <c r="AW11" s="1004"/>
      <c r="AX11" s="1004"/>
      <c r="AY11" s="1004"/>
      <c r="AZ11" s="1004"/>
      <c r="BA11" s="1004"/>
      <c r="BB11" s="1004"/>
      <c r="BC11" s="1004"/>
      <c r="BD11" s="1004"/>
      <c r="BE11" s="1004"/>
      <c r="BF11" s="1004"/>
    </row>
    <row r="12" spans="1:58" ht="33.75" customHeight="1">
      <c r="A12" s="805"/>
      <c r="B12" s="805"/>
      <c r="C12" s="805"/>
      <c r="E12" s="808"/>
      <c r="F12" s="2097"/>
      <c r="G12" s="2348"/>
      <c r="H12" s="2349"/>
      <c r="I12" s="1027" t="s">
        <v>88</v>
      </c>
      <c r="J12" s="1027" t="s">
        <v>2002</v>
      </c>
      <c r="K12" s="2007"/>
      <c r="L12" s="2122"/>
      <c r="M12" s="2122"/>
      <c r="N12" s="2007"/>
      <c r="O12" s="2007"/>
      <c r="P12" s="2064"/>
      <c r="Q12" s="2064"/>
      <c r="R12" s="2064"/>
      <c r="S12" s="1011" t="s">
        <v>85</v>
      </c>
      <c r="T12" s="1011" t="s">
        <v>86</v>
      </c>
      <c r="U12" s="1011" t="s">
        <v>84</v>
      </c>
      <c r="V12" s="1011" t="s">
        <v>2003</v>
      </c>
      <c r="W12" s="1011" t="s">
        <v>84</v>
      </c>
      <c r="X12" s="1011" t="s">
        <v>2004</v>
      </c>
      <c r="Y12" s="1011" t="s">
        <v>2005</v>
      </c>
      <c r="Z12" s="2072"/>
      <c r="AA12" s="2073"/>
      <c r="AB12" s="1017" t="s">
        <v>2006</v>
      </c>
      <c r="AC12" s="1017" t="s">
        <v>2007</v>
      </c>
      <c r="AD12" s="1017" t="s">
        <v>2006</v>
      </c>
      <c r="AE12" s="1017" t="s">
        <v>2007</v>
      </c>
      <c r="AF12" s="2122"/>
      <c r="AG12" s="1028" t="s">
        <v>2008</v>
      </c>
      <c r="AH12" s="1028" t="s">
        <v>2009</v>
      </c>
      <c r="AI12" s="2122"/>
      <c r="AJ12" s="1028" t="s">
        <v>2008</v>
      </c>
      <c r="AK12" s="1028" t="s">
        <v>2009</v>
      </c>
      <c r="AL12" s="1018"/>
      <c r="AM12" s="807"/>
      <c r="AN12" s="807"/>
      <c r="AO12" s="807"/>
      <c r="AP12" s="807"/>
      <c r="AQ12" s="807"/>
      <c r="AR12" s="807"/>
      <c r="AS12" s="807"/>
      <c r="AT12" s="807"/>
      <c r="AU12" s="807"/>
      <c r="AV12" s="807"/>
      <c r="AW12" s="807"/>
      <c r="AX12" s="807"/>
      <c r="AY12" s="807"/>
      <c r="AZ12" s="807"/>
      <c r="BA12" s="807"/>
      <c r="BB12" s="807"/>
      <c r="BC12" s="807"/>
      <c r="BD12" s="807"/>
      <c r="BE12" s="807"/>
      <c r="BF12" s="807"/>
    </row>
    <row r="13" spans="1:58" ht="0.75" customHeight="1">
      <c r="E13" s="808"/>
      <c r="F13" s="1002">
        <v>0</v>
      </c>
      <c r="G13" s="1002"/>
      <c r="H13" s="1002"/>
      <c r="I13" s="1002"/>
      <c r="J13" s="1002"/>
      <c r="K13" s="1008"/>
      <c r="L13" s="1008"/>
      <c r="M13" s="1008"/>
      <c r="N13" s="1008"/>
      <c r="O13" s="1008"/>
      <c r="P13" s="1008"/>
      <c r="Q13" s="1008"/>
      <c r="R13" s="1008"/>
      <c r="S13" s="1008"/>
      <c r="T13" s="1008"/>
      <c r="U13" s="1008"/>
      <c r="V13" s="1008"/>
      <c r="W13" s="1008"/>
      <c r="X13" s="1008"/>
      <c r="Y13" s="1008"/>
      <c r="Z13" s="1008"/>
      <c r="AA13" s="1008"/>
      <c r="AB13" s="1008"/>
      <c r="AC13" s="1008"/>
      <c r="AD13" s="1008"/>
      <c r="AE13" s="1008"/>
      <c r="AF13" s="1008"/>
      <c r="AG13" s="1008"/>
      <c r="AH13" s="1024"/>
      <c r="AI13" s="1018"/>
      <c r="AJ13" s="1008"/>
      <c r="AK13" s="1008"/>
      <c r="AL13" s="809"/>
      <c r="AM13" s="807"/>
      <c r="AN13" s="807"/>
      <c r="AO13" s="807"/>
      <c r="AP13" s="807"/>
      <c r="AQ13" s="807"/>
      <c r="AR13" s="807"/>
      <c r="AS13" s="807"/>
      <c r="AT13" s="807"/>
      <c r="AU13" s="807"/>
      <c r="AV13" s="807"/>
      <c r="AW13" s="807"/>
      <c r="AX13" s="807"/>
      <c r="AY13" s="807"/>
      <c r="AZ13" s="807"/>
      <c r="BA13" s="807"/>
      <c r="BB13" s="807"/>
      <c r="BC13" s="807"/>
      <c r="BD13" s="807"/>
      <c r="BE13" s="807"/>
      <c r="BF13" s="807"/>
    </row>
    <row r="14" spans="1:58" ht="10.5" customHeight="1">
      <c r="E14" s="807"/>
      <c r="F14" s="818"/>
      <c r="G14" s="818"/>
      <c r="H14" s="1046"/>
      <c r="I14" s="818"/>
      <c r="J14" s="818"/>
      <c r="K14" s="818"/>
      <c r="L14" s="1008"/>
      <c r="M14" s="1008"/>
      <c r="N14" s="818"/>
      <c r="O14" s="818"/>
      <c r="P14" s="818"/>
      <c r="Q14" s="818"/>
      <c r="R14" s="818"/>
      <c r="S14" s="818"/>
      <c r="T14" s="818"/>
      <c r="U14" s="818"/>
      <c r="V14" s="818"/>
      <c r="W14" s="818"/>
      <c r="X14" s="818"/>
      <c r="Y14" s="818"/>
      <c r="Z14" s="818"/>
      <c r="AA14" s="818"/>
      <c r="AB14" s="818"/>
      <c r="AC14" s="818"/>
      <c r="AD14" s="1008"/>
      <c r="AE14" s="818"/>
      <c r="AF14" s="818"/>
      <c r="AG14" s="818"/>
      <c r="AH14" s="1024"/>
      <c r="AI14" s="1018"/>
      <c r="AJ14" s="818"/>
      <c r="AK14" s="818"/>
      <c r="AL14" s="807"/>
      <c r="AM14" s="807"/>
      <c r="AN14" s="807"/>
      <c r="AO14" s="807"/>
      <c r="AP14" s="807"/>
      <c r="AQ14" s="807"/>
      <c r="AR14" s="807"/>
      <c r="AS14" s="807"/>
      <c r="AT14" s="807"/>
      <c r="AU14" s="807"/>
      <c r="AV14" s="807"/>
      <c r="AW14" s="807"/>
      <c r="AX14" s="807"/>
      <c r="AY14" s="807"/>
      <c r="AZ14" s="807"/>
      <c r="BA14" s="807"/>
      <c r="BB14" s="807"/>
      <c r="BC14" s="807"/>
      <c r="BD14" s="807"/>
      <c r="BE14" s="807"/>
      <c r="BF14" s="807"/>
    </row>
    <row r="15" spans="1:58" ht="12.75" customHeight="1">
      <c r="E15" s="807"/>
      <c r="F15" s="814" t="s">
        <v>2010</v>
      </c>
      <c r="G15" s="814"/>
      <c r="H15" s="1045"/>
      <c r="I15" s="814"/>
      <c r="J15" s="814"/>
      <c r="K15" s="811"/>
      <c r="L15" s="1004"/>
      <c r="M15" s="1004"/>
      <c r="N15" s="813"/>
      <c r="O15" s="813"/>
      <c r="P15" s="813"/>
      <c r="Q15" s="813"/>
      <c r="R15" s="813"/>
      <c r="S15" s="813"/>
      <c r="T15" s="813"/>
      <c r="U15" s="813"/>
      <c r="V15" s="813"/>
      <c r="W15" s="813"/>
      <c r="X15" s="813"/>
      <c r="Y15" s="813"/>
      <c r="Z15" s="811"/>
      <c r="AA15" s="811"/>
      <c r="AB15" s="811"/>
      <c r="AC15" s="811"/>
      <c r="AD15" s="1004"/>
      <c r="AE15" s="811"/>
      <c r="AF15" s="811"/>
      <c r="AG15" s="811"/>
      <c r="AH15" s="1021"/>
      <c r="AI15" s="1015"/>
      <c r="AJ15" s="811"/>
      <c r="AK15" s="811"/>
      <c r="AL15" s="807"/>
      <c r="AM15" s="807"/>
      <c r="AN15" s="807"/>
      <c r="AO15" s="807"/>
      <c r="AP15" s="807"/>
      <c r="AQ15" s="807"/>
      <c r="AR15" s="807"/>
      <c r="AS15" s="807"/>
      <c r="AT15" s="807"/>
      <c r="AU15" s="807"/>
      <c r="AV15" s="807"/>
      <c r="AW15" s="807"/>
      <c r="AX15" s="807"/>
      <c r="AY15" s="807"/>
      <c r="AZ15" s="807"/>
      <c r="BA15" s="807"/>
      <c r="BB15" s="807"/>
      <c r="BC15" s="807"/>
      <c r="BD15" s="807"/>
      <c r="BE15" s="807"/>
      <c r="BF15" s="807"/>
    </row>
    <row r="17" spans="5:58" ht="10.5" customHeight="1">
      <c r="E17" s="807"/>
      <c r="F17" s="2344"/>
      <c r="G17" s="2344"/>
      <c r="H17" s="2344"/>
      <c r="I17" s="2344"/>
      <c r="J17" s="2344"/>
      <c r="K17" s="811"/>
      <c r="L17" s="1004"/>
      <c r="M17" s="1004"/>
      <c r="N17" s="813"/>
      <c r="O17" s="813"/>
      <c r="P17" s="813"/>
      <c r="Q17" s="813"/>
      <c r="R17" s="813"/>
      <c r="S17" s="813"/>
      <c r="T17" s="813"/>
      <c r="U17" s="813"/>
      <c r="V17" s="813"/>
      <c r="W17" s="813"/>
      <c r="X17" s="813"/>
      <c r="Y17" s="813"/>
      <c r="Z17" s="811"/>
      <c r="AA17" s="811"/>
      <c r="AB17" s="811"/>
      <c r="AC17" s="811"/>
      <c r="AD17" s="1004"/>
      <c r="AE17" s="811"/>
      <c r="AF17" s="811"/>
      <c r="AG17" s="811"/>
      <c r="AH17" s="1021"/>
      <c r="AI17" s="1015"/>
      <c r="AJ17" s="811"/>
      <c r="AK17" s="811"/>
      <c r="AL17" s="807"/>
      <c r="AM17" s="807"/>
      <c r="AN17" s="807"/>
      <c r="AO17" s="807"/>
      <c r="AP17" s="807"/>
      <c r="AQ17" s="807"/>
      <c r="AR17" s="807"/>
      <c r="AS17" s="807"/>
      <c r="AT17" s="807"/>
      <c r="AU17" s="807"/>
      <c r="AV17" s="807"/>
      <c r="AW17" s="807"/>
      <c r="AX17" s="807"/>
      <c r="AY17" s="807"/>
      <c r="AZ17" s="807"/>
      <c r="BA17" s="807"/>
      <c r="BB17" s="807"/>
      <c r="BC17" s="807"/>
      <c r="BD17" s="807"/>
      <c r="BE17" s="807"/>
      <c r="BF17" s="807"/>
    </row>
    <row r="18" spans="5:58" ht="10.5" customHeight="1">
      <c r="E18" s="807"/>
      <c r="F18" s="2344"/>
      <c r="G18" s="2344"/>
      <c r="H18" s="2344"/>
      <c r="I18" s="2344"/>
      <c r="J18" s="2344"/>
      <c r="K18" s="811"/>
      <c r="L18" s="1004"/>
      <c r="M18" s="1004"/>
      <c r="N18" s="813"/>
      <c r="O18" s="813"/>
      <c r="P18" s="813"/>
      <c r="Q18" s="813"/>
      <c r="R18" s="813"/>
      <c r="S18" s="813"/>
      <c r="T18" s="813"/>
      <c r="U18" s="813"/>
      <c r="V18" s="813"/>
      <c r="W18" s="813"/>
      <c r="X18" s="813"/>
      <c r="Y18" s="813"/>
      <c r="Z18" s="811"/>
      <c r="AA18" s="811"/>
      <c r="AB18" s="811"/>
      <c r="AC18" s="811"/>
      <c r="AD18" s="1004"/>
      <c r="AE18" s="811"/>
      <c r="AF18" s="811"/>
      <c r="AG18" s="811"/>
      <c r="AH18" s="1021"/>
      <c r="AI18" s="1015"/>
      <c r="AJ18" s="811"/>
      <c r="AK18" s="811"/>
      <c r="AL18" s="807"/>
      <c r="AM18" s="807"/>
      <c r="AN18" s="807"/>
      <c r="AO18" s="807"/>
      <c r="AP18" s="807"/>
      <c r="AQ18" s="807"/>
      <c r="AR18" s="807"/>
      <c r="AS18" s="807"/>
      <c r="AT18" s="807"/>
      <c r="AU18" s="807"/>
      <c r="AV18" s="807"/>
      <c r="AW18" s="807"/>
      <c r="AX18" s="807"/>
      <c r="AY18" s="807"/>
      <c r="AZ18" s="807"/>
      <c r="BA18" s="807"/>
      <c r="BB18" s="807"/>
      <c r="BC18" s="807"/>
      <c r="BD18" s="807"/>
      <c r="BE18" s="807"/>
      <c r="BF18" s="807"/>
    </row>
    <row r="19" spans="5:58" ht="10.5" customHeight="1">
      <c r="E19" s="807"/>
      <c r="F19" s="2344"/>
      <c r="G19" s="2344"/>
      <c r="H19" s="2344"/>
      <c r="I19" s="2344"/>
      <c r="J19" s="2344"/>
      <c r="K19" s="811"/>
      <c r="L19" s="1004"/>
      <c r="M19" s="1004"/>
      <c r="N19" s="813"/>
      <c r="O19" s="813"/>
      <c r="P19" s="813"/>
      <c r="Q19" s="813"/>
      <c r="R19" s="813"/>
      <c r="S19" s="813"/>
      <c r="T19" s="813"/>
      <c r="U19" s="813"/>
      <c r="V19" s="813"/>
      <c r="W19" s="813"/>
      <c r="X19" s="813"/>
      <c r="Y19" s="813"/>
      <c r="Z19" s="811"/>
      <c r="AA19" s="811"/>
      <c r="AB19" s="811"/>
      <c r="AC19" s="811"/>
      <c r="AD19" s="1004"/>
      <c r="AE19" s="811"/>
      <c r="AF19" s="811"/>
      <c r="AG19" s="811"/>
      <c r="AH19" s="1021"/>
      <c r="AI19" s="1015"/>
      <c r="AJ19" s="811"/>
      <c r="AK19" s="811"/>
      <c r="AL19" s="807"/>
      <c r="AM19" s="807"/>
      <c r="AN19" s="807"/>
      <c r="AO19" s="807"/>
      <c r="AP19" s="807"/>
      <c r="AQ19" s="807"/>
      <c r="AR19" s="807"/>
      <c r="AS19" s="807"/>
      <c r="AT19" s="807"/>
      <c r="AU19" s="807"/>
      <c r="AV19" s="807"/>
      <c r="AW19" s="807"/>
      <c r="AX19" s="807"/>
      <c r="AY19" s="807"/>
      <c r="AZ19" s="807"/>
      <c r="BA19" s="807"/>
      <c r="BB19" s="807"/>
      <c r="BC19" s="807"/>
      <c r="BD19" s="807"/>
      <c r="BE19" s="807"/>
      <c r="BF19" s="807"/>
    </row>
  </sheetData>
  <sheetProtection formatColumns="0" formatRows="0" insertRows="0" deleteColumns="0" deleteRows="0" sort="0" autoFilter="0"/>
  <mergeCells count="28">
    <mergeCell ref="I9:J11"/>
    <mergeCell ref="K10:K12"/>
    <mergeCell ref="F18:J18"/>
    <mergeCell ref="F17:J17"/>
    <mergeCell ref="F5:K5"/>
    <mergeCell ref="F19:J19"/>
    <mergeCell ref="F9:F12"/>
    <mergeCell ref="G9:H12"/>
    <mergeCell ref="F6:K6"/>
    <mergeCell ref="F8:AK8"/>
    <mergeCell ref="R11:R12"/>
    <mergeCell ref="L10:M10"/>
    <mergeCell ref="Z9:AA12"/>
    <mergeCell ref="M11:M12"/>
    <mergeCell ref="L11:L12"/>
    <mergeCell ref="AB11:AC11"/>
    <mergeCell ref="AD11:AE11"/>
    <mergeCell ref="AI9:AI12"/>
    <mergeCell ref="AG9:AH11"/>
    <mergeCell ref="AJ9:AK11"/>
    <mergeCell ref="AF9:AF12"/>
    <mergeCell ref="AB9:AE10"/>
    <mergeCell ref="S11:Y11"/>
    <mergeCell ref="N10:Y10"/>
    <mergeCell ref="K9:Y9"/>
    <mergeCell ref="N11:O12"/>
    <mergeCell ref="P11:P12"/>
    <mergeCell ref="Q11:Q12"/>
  </mergeCells>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tint="-0.249977111117893"/>
  </sheetPr>
  <dimension ref="A1:V58"/>
  <sheetViews>
    <sheetView showGridLines="0" topLeftCell="E4" zoomScale="85" workbookViewId="0"/>
  </sheetViews>
  <sheetFormatPr defaultColWidth="9.140625" defaultRowHeight="10.5" customHeight="1"/>
  <cols>
    <col min="1" max="3" width="4.140625" style="1804" hidden="1" customWidth="1"/>
    <col min="4" max="4" width="4.140625" style="1742" hidden="1" customWidth="1"/>
    <col min="5" max="5" width="3.7109375" style="1829" customWidth="1"/>
    <col min="6" max="6" width="6.28515625" style="1829" customWidth="1"/>
    <col min="7" max="7" width="60.140625" style="1829" customWidth="1"/>
    <col min="8" max="9" width="21.7109375" style="1829" hidden="1" customWidth="1"/>
    <col min="10" max="10" width="0.140625" style="1829" customWidth="1"/>
    <col min="11" max="11" width="1.7109375" style="1829" customWidth="1"/>
    <col min="12" max="22" width="9.140625" style="1829"/>
  </cols>
  <sheetData>
    <row r="1" spans="1:22" s="1742" customFormat="1" ht="10.5" hidden="1" customHeight="1">
      <c r="A1" s="1040"/>
      <c r="B1" s="1040"/>
      <c r="C1" s="1040"/>
      <c r="E1" s="464"/>
    </row>
    <row r="2" spans="1:22" ht="10.5" hidden="1" customHeight="1"/>
    <row r="3" spans="1:22" s="1721" customFormat="1" ht="10.5" hidden="1" customHeight="1">
      <c r="A3" s="1040"/>
      <c r="B3" s="1040"/>
      <c r="C3" s="1040"/>
      <c r="D3" s="1034"/>
      <c r="E3" s="288"/>
    </row>
    <row r="4" spans="1:22" ht="3" customHeight="1"/>
    <row r="5" spans="1:22" ht="30" customHeight="1">
      <c r="F5" s="2299" t="s">
        <v>2011</v>
      </c>
      <c r="G5" s="2299"/>
      <c r="H5" s="2299"/>
      <c r="I5" s="2299"/>
      <c r="J5" s="2299"/>
    </row>
    <row r="6" spans="1:22" ht="10.5" customHeight="1">
      <c r="F6" s="2099" t="str">
        <f>IF(org=0,"Не определено",org)</f>
        <v>МУП г. Астрахани "Коммунэнерго"</v>
      </c>
      <c r="G6" s="2099"/>
      <c r="H6" s="2099"/>
      <c r="I6" s="2099"/>
      <c r="J6" s="2099"/>
    </row>
    <row r="7" spans="1:22" ht="11.25" customHeight="1">
      <c r="E7" s="1044"/>
      <c r="F7" s="1098"/>
      <c r="G7" s="1098"/>
      <c r="H7" s="1098"/>
      <c r="I7" s="1098"/>
      <c r="J7" s="1098"/>
      <c r="K7" s="1031"/>
      <c r="L7" s="1031"/>
      <c r="M7" s="1031"/>
      <c r="N7" s="1031"/>
      <c r="O7" s="1031"/>
      <c r="P7" s="1031"/>
      <c r="Q7" s="1031"/>
      <c r="R7" s="1031"/>
      <c r="S7" s="1031"/>
      <c r="T7" s="1031"/>
      <c r="U7" s="1031"/>
      <c r="V7" s="1031"/>
    </row>
    <row r="8" spans="1:22" s="1755" customFormat="1" ht="5.25" customHeight="1">
      <c r="A8" s="1041"/>
      <c r="B8" s="1041"/>
      <c r="C8" s="1041"/>
      <c r="E8" s="1099"/>
      <c r="F8" s="1100"/>
      <c r="G8" s="1100"/>
      <c r="H8" s="1100"/>
      <c r="I8" s="1100"/>
      <c r="J8" s="1100"/>
      <c r="K8" s="1099"/>
      <c r="L8" s="1099"/>
      <c r="M8" s="1099"/>
      <c r="N8" s="1099"/>
      <c r="O8" s="1099"/>
      <c r="P8" s="1099"/>
      <c r="Q8" s="1099"/>
      <c r="R8" s="1099"/>
      <c r="S8" s="1099"/>
      <c r="T8" s="1099"/>
      <c r="U8" s="1099"/>
      <c r="V8" s="1099"/>
    </row>
    <row r="9" spans="1:22" ht="10.5" customHeight="1">
      <c r="E9" s="1044"/>
      <c r="F9" s="2353" t="s">
        <v>292</v>
      </c>
      <c r="G9" s="2354"/>
      <c r="H9" s="2354"/>
      <c r="I9" s="2354"/>
      <c r="J9" s="2354"/>
      <c r="K9" s="1111"/>
      <c r="L9" s="1031"/>
      <c r="M9" s="1031"/>
      <c r="N9" s="1031"/>
      <c r="O9" s="1031"/>
      <c r="P9" s="1031"/>
      <c r="Q9" s="1031"/>
      <c r="R9" s="1031"/>
      <c r="S9" s="1031"/>
      <c r="T9" s="1031"/>
      <c r="U9" s="1031"/>
      <c r="V9" s="1031"/>
    </row>
    <row r="10" spans="1:22" ht="24" customHeight="1">
      <c r="E10" s="1031"/>
      <c r="F10" s="2357" t="s">
        <v>87</v>
      </c>
      <c r="G10" s="2361" t="s">
        <v>2012</v>
      </c>
      <c r="H10" s="2340" t="s">
        <v>2013</v>
      </c>
      <c r="I10" s="2340"/>
      <c r="J10" s="2340"/>
      <c r="K10" s="1104"/>
      <c r="L10" s="1031"/>
      <c r="M10" s="1031"/>
      <c r="N10" s="1031"/>
      <c r="O10" s="1031"/>
      <c r="P10" s="1031"/>
      <c r="Q10" s="1031"/>
      <c r="R10" s="1031"/>
      <c r="S10" s="1031"/>
      <c r="T10" s="1031"/>
      <c r="U10" s="1031"/>
      <c r="V10" s="1031"/>
    </row>
    <row r="11" spans="1:22" ht="24" customHeight="1">
      <c r="E11" s="1031"/>
      <c r="F11" s="2358"/>
      <c r="G11" s="2361"/>
      <c r="H11" s="2360" t="e">
        <f>INDEX(IP_MAIN_LIST_NAME_IP,MATCH(H8,IP_MAIN_LIST_IP_ID,0))&amp;" ("&amp;INDEX(IP_MAIN_START_DATE,MATCH(H8,IP_MAIN_LIST_IP_ID,0))&amp;"-"&amp;INDEX(IP_MAIN_END_DATE,MATCH(H8,IP_MAIN_LIST_IP_ID,0))&amp;")"</f>
        <v>#N/A</v>
      </c>
      <c r="I11" s="2360"/>
      <c r="J11" s="2360"/>
      <c r="K11" s="1104"/>
      <c r="L11" s="1031"/>
      <c r="M11" s="1031"/>
      <c r="N11" s="1031"/>
      <c r="O11" s="1031"/>
      <c r="P11" s="1031"/>
      <c r="Q11" s="1031"/>
      <c r="R11" s="1031"/>
      <c r="S11" s="1031"/>
      <c r="T11" s="1031"/>
      <c r="U11" s="1031"/>
      <c r="V11" s="1031"/>
    </row>
    <row r="12" spans="1:22" ht="10.5" customHeight="1">
      <c r="F12" s="2359"/>
      <c r="G12" s="2361"/>
      <c r="H12" s="1097" t="s">
        <v>2014</v>
      </c>
      <c r="I12" s="1103"/>
      <c r="J12" s="1097"/>
      <c r="K12" s="1105"/>
    </row>
    <row r="13" spans="1:22" ht="10.5" hidden="1" customHeight="1">
      <c r="F13" s="1097">
        <v>1</v>
      </c>
      <c r="G13" s="1097">
        <v>2</v>
      </c>
      <c r="H13" s="1097">
        <v>3</v>
      </c>
      <c r="I13" s="1097">
        <v>4</v>
      </c>
      <c r="J13" s="1097">
        <v>5</v>
      </c>
      <c r="K13" s="1105"/>
    </row>
    <row r="14" spans="1:22" ht="11.25" customHeight="1">
      <c r="F14" s="1096" t="s">
        <v>1221</v>
      </c>
      <c r="G14" s="2355" t="s">
        <v>2015</v>
      </c>
      <c r="H14" s="2355"/>
      <c r="I14" s="2355"/>
      <c r="J14" s="2355"/>
      <c r="K14" s="1105"/>
    </row>
    <row r="15" spans="1:22" ht="11.25" customHeight="1">
      <c r="F15" s="1101">
        <v>1</v>
      </c>
      <c r="G15" s="604" t="s">
        <v>2016</v>
      </c>
      <c r="H15" s="1107">
        <f t="shared" ref="H15:H36" si="0">SUM(I15:J15)</f>
        <v>0</v>
      </c>
      <c r="I15" s="1107">
        <f>SUM(I16:I27)</f>
        <v>0</v>
      </c>
      <c r="J15" s="1096"/>
      <c r="K15" s="1105"/>
    </row>
    <row r="16" spans="1:22" ht="22.5" customHeight="1">
      <c r="F16" s="1101" t="s">
        <v>620</v>
      </c>
      <c r="G16" s="1108" t="s">
        <v>1174</v>
      </c>
      <c r="H16" s="1107">
        <f t="shared" si="0"/>
        <v>0</v>
      </c>
      <c r="I16" s="1106"/>
      <c r="J16" s="1096"/>
      <c r="K16" s="1105"/>
    </row>
    <row r="17" spans="6:11" ht="22.5" customHeight="1">
      <c r="F17" s="1101" t="s">
        <v>626</v>
      </c>
      <c r="G17" s="1108" t="s">
        <v>1179</v>
      </c>
      <c r="H17" s="1107">
        <f t="shared" si="0"/>
        <v>0</v>
      </c>
      <c r="I17" s="1106"/>
      <c r="J17" s="1096"/>
      <c r="K17" s="1105"/>
    </row>
    <row r="18" spans="6:11" ht="33.75" customHeight="1">
      <c r="F18" s="1101" t="s">
        <v>1451</v>
      </c>
      <c r="G18" s="1108" t="s">
        <v>1168</v>
      </c>
      <c r="H18" s="1107">
        <f t="shared" si="0"/>
        <v>0</v>
      </c>
      <c r="I18" s="1106"/>
      <c r="J18" s="1096"/>
      <c r="K18" s="1105"/>
    </row>
    <row r="19" spans="6:11" ht="33.75" customHeight="1">
      <c r="F19" s="1101" t="s">
        <v>2017</v>
      </c>
      <c r="G19" s="1108" t="s">
        <v>1205</v>
      </c>
      <c r="H19" s="1107">
        <f t="shared" si="0"/>
        <v>0</v>
      </c>
      <c r="I19" s="1106"/>
      <c r="J19" s="1096"/>
      <c r="K19" s="1105"/>
    </row>
    <row r="20" spans="6:11" ht="45" customHeight="1">
      <c r="F20" s="1101" t="s">
        <v>2018</v>
      </c>
      <c r="G20" s="1108" t="s">
        <v>1209</v>
      </c>
      <c r="H20" s="1107">
        <f t="shared" si="0"/>
        <v>0</v>
      </c>
      <c r="I20" s="1106"/>
      <c r="J20" s="1096"/>
      <c r="K20" s="1105"/>
    </row>
    <row r="21" spans="6:11" ht="33.75" customHeight="1">
      <c r="F21" s="1101" t="s">
        <v>2019</v>
      </c>
      <c r="G21" s="1108" t="s">
        <v>1214</v>
      </c>
      <c r="H21" s="1107">
        <f t="shared" si="0"/>
        <v>0</v>
      </c>
      <c r="I21" s="1106"/>
      <c r="J21" s="1096"/>
      <c r="K21" s="1105"/>
    </row>
    <row r="22" spans="6:11" ht="33.75" customHeight="1">
      <c r="F22" s="1101" t="s">
        <v>2020</v>
      </c>
      <c r="G22" s="1108" t="s">
        <v>1219</v>
      </c>
      <c r="H22" s="1107">
        <f t="shared" si="0"/>
        <v>0</v>
      </c>
      <c r="I22" s="1106"/>
      <c r="J22" s="1096"/>
      <c r="K22" s="1105"/>
    </row>
    <row r="23" spans="6:11" ht="22.5" customHeight="1">
      <c r="F23" s="1101" t="s">
        <v>2021</v>
      </c>
      <c r="G23" s="1108" t="s">
        <v>1223</v>
      </c>
      <c r="H23" s="1107">
        <f t="shared" si="0"/>
        <v>0</v>
      </c>
      <c r="I23" s="1106"/>
      <c r="J23" s="1096"/>
      <c r="K23" s="1105"/>
    </row>
    <row r="24" spans="6:11" ht="22.5" customHeight="1">
      <c r="F24" s="1101" t="s">
        <v>2022</v>
      </c>
      <c r="G24" s="1108" t="s">
        <v>1200</v>
      </c>
      <c r="H24" s="1107">
        <f t="shared" si="0"/>
        <v>0</v>
      </c>
      <c r="I24" s="1106"/>
      <c r="J24" s="1096"/>
      <c r="K24" s="1105"/>
    </row>
    <row r="25" spans="6:11" ht="33.75" customHeight="1">
      <c r="F25" s="1101" t="s">
        <v>2023</v>
      </c>
      <c r="G25" s="1108" t="s">
        <v>1260</v>
      </c>
      <c r="H25" s="1107">
        <f t="shared" si="0"/>
        <v>0</v>
      </c>
      <c r="I25" s="1106"/>
      <c r="J25" s="1096"/>
      <c r="K25" s="1105"/>
    </row>
    <row r="26" spans="6:11" ht="33.75" customHeight="1">
      <c r="F26" s="1101" t="s">
        <v>2024</v>
      </c>
      <c r="G26" s="1108" t="s">
        <v>1262</v>
      </c>
      <c r="H26" s="1107">
        <f t="shared" si="0"/>
        <v>0</v>
      </c>
      <c r="I26" s="1106"/>
      <c r="J26" s="1096"/>
      <c r="K26" s="1105"/>
    </row>
    <row r="27" spans="6:11" ht="11.25" customHeight="1">
      <c r="F27" s="1101" t="s">
        <v>2025</v>
      </c>
      <c r="G27" s="1108" t="s">
        <v>1178</v>
      </c>
      <c r="H27" s="1107">
        <f t="shared" si="0"/>
        <v>0</v>
      </c>
      <c r="I27" s="1106"/>
      <c r="J27" s="1096"/>
      <c r="K27" s="1105"/>
    </row>
    <row r="28" spans="6:11" ht="11.25" customHeight="1">
      <c r="F28" s="1101">
        <v>2</v>
      </c>
      <c r="G28" s="604" t="s">
        <v>2026</v>
      </c>
      <c r="H28" s="1107">
        <f t="shared" si="0"/>
        <v>0</v>
      </c>
      <c r="I28" s="1107">
        <f>SUM(I29:I31)</f>
        <v>0</v>
      </c>
      <c r="J28" s="1096"/>
      <c r="K28" s="1105"/>
    </row>
    <row r="29" spans="6:11" ht="11.25" customHeight="1">
      <c r="F29" s="1101" t="s">
        <v>505</v>
      </c>
      <c r="G29" s="1108" t="s">
        <v>2027</v>
      </c>
      <c r="H29" s="1107">
        <f t="shared" si="0"/>
        <v>0</v>
      </c>
      <c r="I29" s="1106"/>
      <c r="J29" s="1096"/>
      <c r="K29" s="1105"/>
    </row>
    <row r="30" spans="6:11" ht="11.25" customHeight="1">
      <c r="F30" s="1101" t="s">
        <v>299</v>
      </c>
      <c r="G30" s="1108" t="s">
        <v>1175</v>
      </c>
      <c r="H30" s="1107">
        <f t="shared" si="0"/>
        <v>0</v>
      </c>
      <c r="I30" s="1106"/>
      <c r="J30" s="1096"/>
      <c r="K30" s="1105"/>
    </row>
    <row r="31" spans="6:11" ht="11.25" customHeight="1">
      <c r="F31" s="1101" t="s">
        <v>302</v>
      </c>
      <c r="G31" s="1108" t="s">
        <v>1218</v>
      </c>
      <c r="H31" s="1107">
        <f t="shared" si="0"/>
        <v>0</v>
      </c>
      <c r="I31" s="1106"/>
      <c r="J31" s="1096"/>
      <c r="K31" s="1105"/>
    </row>
    <row r="32" spans="6:11" ht="11.25" customHeight="1">
      <c r="F32" s="1101">
        <v>3</v>
      </c>
      <c r="G32" s="604" t="s">
        <v>2028</v>
      </c>
      <c r="H32" s="1107">
        <f t="shared" si="0"/>
        <v>0</v>
      </c>
      <c r="I32" s="1107">
        <f>SUM(I33:I34)</f>
        <v>0</v>
      </c>
      <c r="J32" s="1096"/>
      <c r="K32" s="1105"/>
    </row>
    <row r="33" spans="6:11" ht="33.75" customHeight="1">
      <c r="F33" s="1101" t="s">
        <v>318</v>
      </c>
      <c r="G33" s="1108" t="s">
        <v>2029</v>
      </c>
      <c r="H33" s="1107">
        <f t="shared" si="0"/>
        <v>0</v>
      </c>
      <c r="I33" s="1106"/>
      <c r="J33" s="1096"/>
      <c r="K33" s="1105"/>
    </row>
    <row r="34" spans="6:11" ht="11.25" customHeight="1">
      <c r="F34" s="1101" t="s">
        <v>326</v>
      </c>
      <c r="G34" s="1108" t="s">
        <v>2030</v>
      </c>
      <c r="H34" s="1107">
        <f t="shared" si="0"/>
        <v>0</v>
      </c>
      <c r="I34" s="1106"/>
      <c r="J34" s="1096"/>
      <c r="K34" s="1105"/>
    </row>
    <row r="35" spans="6:11" ht="11.25" customHeight="1">
      <c r="F35" s="1101">
        <v>4</v>
      </c>
      <c r="G35" s="604" t="s">
        <v>2031</v>
      </c>
      <c r="H35" s="1107">
        <f t="shared" si="0"/>
        <v>0</v>
      </c>
      <c r="I35" s="1106"/>
      <c r="J35" s="1096"/>
      <c r="K35" s="1105"/>
    </row>
    <row r="36" spans="6:11" ht="11.25" customHeight="1">
      <c r="F36" s="1101"/>
      <c r="G36" s="607" t="s">
        <v>2032</v>
      </c>
      <c r="H36" s="1107">
        <f t="shared" si="0"/>
        <v>0</v>
      </c>
      <c r="I36" s="1107">
        <f>SUM(I15,I28,I32,I35)</f>
        <v>0</v>
      </c>
      <c r="J36" s="1096"/>
      <c r="K36" s="1105"/>
    </row>
    <row r="37" spans="6:11" ht="27.75" customHeight="1">
      <c r="F37" s="1102" t="s">
        <v>1351</v>
      </c>
      <c r="G37" s="2356" t="s">
        <v>2033</v>
      </c>
      <c r="H37" s="2356"/>
      <c r="I37" s="2356"/>
      <c r="J37" s="2356"/>
      <c r="K37" s="1105"/>
    </row>
    <row r="38" spans="6:11" ht="22.5" customHeight="1">
      <c r="F38" s="1101" t="s">
        <v>108</v>
      </c>
      <c r="G38" s="604" t="s">
        <v>2034</v>
      </c>
      <c r="H38" s="1107">
        <f t="shared" ref="H38:H58" si="1">SUM(I38:J38)</f>
        <v>0</v>
      </c>
      <c r="I38" s="1107">
        <f>SUM(I39,I44,I47)</f>
        <v>0</v>
      </c>
      <c r="J38" s="1096"/>
      <c r="K38" s="1105"/>
    </row>
    <row r="39" spans="6:11" ht="11.25" customHeight="1">
      <c r="F39" s="1101" t="s">
        <v>620</v>
      </c>
      <c r="G39" s="1108" t="s">
        <v>2016</v>
      </c>
      <c r="H39" s="1107">
        <f t="shared" si="1"/>
        <v>0</v>
      </c>
      <c r="I39" s="1107">
        <f>SUM(I40:I43)</f>
        <v>0</v>
      </c>
      <c r="J39" s="1096"/>
      <c r="K39" s="1105"/>
    </row>
    <row r="40" spans="6:11" ht="22.5" customHeight="1">
      <c r="F40" s="1101" t="s">
        <v>1447</v>
      </c>
      <c r="G40" s="1109" t="s">
        <v>2035</v>
      </c>
      <c r="H40" s="1107">
        <f t="shared" si="1"/>
        <v>0</v>
      </c>
      <c r="I40" s="1106"/>
      <c r="J40" s="1096"/>
      <c r="K40" s="1105"/>
    </row>
    <row r="41" spans="6:11" ht="11.25" customHeight="1">
      <c r="F41" s="1101" t="s">
        <v>2036</v>
      </c>
      <c r="G41" s="1109" t="s">
        <v>1169</v>
      </c>
      <c r="H41" s="1107">
        <f t="shared" si="1"/>
        <v>0</v>
      </c>
      <c r="I41" s="1106"/>
      <c r="J41" s="1096"/>
      <c r="K41" s="1105"/>
    </row>
    <row r="42" spans="6:11" ht="11.25" customHeight="1">
      <c r="F42" s="1101" t="s">
        <v>2037</v>
      </c>
      <c r="G42" s="1109" t="s">
        <v>2038</v>
      </c>
      <c r="H42" s="1107">
        <f t="shared" si="1"/>
        <v>0</v>
      </c>
      <c r="I42" s="1106"/>
      <c r="J42" s="1096"/>
      <c r="K42" s="1105"/>
    </row>
    <row r="43" spans="6:11" ht="33.75" customHeight="1">
      <c r="F43" s="1101" t="s">
        <v>2039</v>
      </c>
      <c r="G43" s="1109" t="s">
        <v>2040</v>
      </c>
      <c r="H43" s="1107">
        <f t="shared" si="1"/>
        <v>0</v>
      </c>
      <c r="I43" s="1106"/>
      <c r="J43" s="1096"/>
      <c r="K43" s="1105"/>
    </row>
    <row r="44" spans="6:11" ht="11.25" customHeight="1">
      <c r="F44" s="1101" t="s">
        <v>626</v>
      </c>
      <c r="G44" s="1108" t="s">
        <v>2028</v>
      </c>
      <c r="H44" s="1107">
        <f t="shared" si="1"/>
        <v>0</v>
      </c>
      <c r="I44" s="1107">
        <f>SUM(I45:I46)</f>
        <v>0</v>
      </c>
      <c r="J44" s="1096"/>
      <c r="K44" s="1105"/>
    </row>
    <row r="45" spans="6:11" ht="45" customHeight="1">
      <c r="F45" s="1101" t="s">
        <v>1449</v>
      </c>
      <c r="G45" s="1109" t="s">
        <v>2029</v>
      </c>
      <c r="H45" s="1107">
        <f t="shared" si="1"/>
        <v>0</v>
      </c>
      <c r="I45" s="1106"/>
      <c r="J45" s="1096"/>
      <c r="K45" s="1105"/>
    </row>
    <row r="46" spans="6:11" ht="11.25" customHeight="1">
      <c r="F46" s="1101" t="s">
        <v>2041</v>
      </c>
      <c r="G46" s="1109" t="s">
        <v>2030</v>
      </c>
      <c r="H46" s="1107">
        <f t="shared" si="1"/>
        <v>0</v>
      </c>
      <c r="I46" s="1106"/>
      <c r="J46" s="1096"/>
      <c r="K46" s="1105"/>
    </row>
    <row r="47" spans="6:11" ht="11.25" customHeight="1">
      <c r="F47" s="1101" t="s">
        <v>1451</v>
      </c>
      <c r="G47" s="1108" t="s">
        <v>2042</v>
      </c>
      <c r="H47" s="1107">
        <f t="shared" si="1"/>
        <v>0</v>
      </c>
      <c r="I47" s="1106"/>
      <c r="J47" s="1096"/>
      <c r="K47" s="1105"/>
    </row>
    <row r="48" spans="6:11" ht="22.5" customHeight="1">
      <c r="F48" s="1101" t="s">
        <v>109</v>
      </c>
      <c r="G48" s="604" t="s">
        <v>2043</v>
      </c>
      <c r="H48" s="1107">
        <f t="shared" si="1"/>
        <v>0</v>
      </c>
      <c r="I48" s="1107">
        <f>SUM(I49,I54,I57)</f>
        <v>0</v>
      </c>
      <c r="J48" s="1096"/>
      <c r="K48" s="1105"/>
    </row>
    <row r="49" spans="6:11" ht="11.25" customHeight="1">
      <c r="F49" s="1101" t="s">
        <v>505</v>
      </c>
      <c r="G49" s="1108" t="s">
        <v>2016</v>
      </c>
      <c r="H49" s="1107">
        <f t="shared" si="1"/>
        <v>0</v>
      </c>
      <c r="I49" s="1107">
        <f>SUM(I50:I53)</f>
        <v>0</v>
      </c>
      <c r="J49" s="1096"/>
      <c r="K49" s="1105"/>
    </row>
    <row r="50" spans="6:11" ht="22.5" customHeight="1">
      <c r="F50" s="1101" t="s">
        <v>1459</v>
      </c>
      <c r="G50" s="1109" t="s">
        <v>2035</v>
      </c>
      <c r="H50" s="1107">
        <f t="shared" si="1"/>
        <v>0</v>
      </c>
      <c r="I50" s="1106"/>
      <c r="J50" s="1096"/>
      <c r="K50" s="1105"/>
    </row>
    <row r="51" spans="6:11" ht="11.25" customHeight="1">
      <c r="F51" s="1101" t="s">
        <v>1781</v>
      </c>
      <c r="G51" s="1109" t="s">
        <v>1169</v>
      </c>
      <c r="H51" s="1107">
        <f t="shared" si="1"/>
        <v>0</v>
      </c>
      <c r="I51" s="1106"/>
      <c r="J51" s="1096"/>
      <c r="K51" s="1105"/>
    </row>
    <row r="52" spans="6:11" ht="11.25" customHeight="1">
      <c r="F52" s="1101" t="s">
        <v>2044</v>
      </c>
      <c r="G52" s="1109" t="s">
        <v>2038</v>
      </c>
      <c r="H52" s="1107">
        <f t="shared" si="1"/>
        <v>0</v>
      </c>
      <c r="I52" s="1106"/>
      <c r="J52" s="1096"/>
      <c r="K52" s="1105"/>
    </row>
    <row r="53" spans="6:11" ht="33.75" customHeight="1">
      <c r="F53" s="1101" t="s">
        <v>2045</v>
      </c>
      <c r="G53" s="1109" t="s">
        <v>2040</v>
      </c>
      <c r="H53" s="1107">
        <f t="shared" si="1"/>
        <v>0</v>
      </c>
      <c r="I53" s="1106"/>
      <c r="J53" s="1096"/>
      <c r="K53" s="1105"/>
    </row>
    <row r="54" spans="6:11" ht="11.25" customHeight="1">
      <c r="F54" s="1101" t="s">
        <v>299</v>
      </c>
      <c r="G54" s="1108" t="s">
        <v>2028</v>
      </c>
      <c r="H54" s="1107">
        <f t="shared" si="1"/>
        <v>0</v>
      </c>
      <c r="I54" s="1107">
        <f>SUM(I55:I56)</f>
        <v>0</v>
      </c>
      <c r="J54" s="1096"/>
      <c r="K54" s="1105"/>
    </row>
    <row r="55" spans="6:11" ht="45" customHeight="1">
      <c r="F55" s="1101" t="s">
        <v>520</v>
      </c>
      <c r="G55" s="1109" t="s">
        <v>2029</v>
      </c>
      <c r="H55" s="1107">
        <f t="shared" si="1"/>
        <v>0</v>
      </c>
      <c r="I55" s="1106"/>
      <c r="J55" s="1096"/>
      <c r="K55" s="1105"/>
    </row>
    <row r="56" spans="6:11" ht="11.25" customHeight="1">
      <c r="F56" s="1101" t="s">
        <v>525</v>
      </c>
      <c r="G56" s="1109" t="s">
        <v>2030</v>
      </c>
      <c r="H56" s="1107">
        <f t="shared" si="1"/>
        <v>0</v>
      </c>
      <c r="I56" s="1106"/>
      <c r="J56" s="1096"/>
      <c r="K56" s="1105"/>
    </row>
    <row r="57" spans="6:11" ht="11.25" customHeight="1">
      <c r="F57" s="1101" t="s">
        <v>302</v>
      </c>
      <c r="G57" s="1108" t="s">
        <v>2042</v>
      </c>
      <c r="H57" s="1107">
        <f t="shared" si="1"/>
        <v>0</v>
      </c>
      <c r="I57" s="1106"/>
      <c r="J57" s="1096"/>
      <c r="K57" s="1105"/>
    </row>
    <row r="58" spans="6:11" ht="11.25" customHeight="1">
      <c r="F58" s="1101"/>
      <c r="G58" s="1110" t="s">
        <v>2032</v>
      </c>
      <c r="H58" s="1107">
        <f t="shared" si="1"/>
        <v>0</v>
      </c>
      <c r="I58" s="1107">
        <f>SUM(I38,I48)</f>
        <v>0</v>
      </c>
      <c r="J58" s="1096"/>
      <c r="K58" s="1105"/>
    </row>
  </sheetData>
  <sheetProtection formatColumns="0" formatRows="0" insertRows="0" deleteColumns="0" deleteRows="0" sort="0" autoFilter="0"/>
  <mergeCells count="9">
    <mergeCell ref="F5:J5"/>
    <mergeCell ref="F6:J6"/>
    <mergeCell ref="F9:J9"/>
    <mergeCell ref="G14:J14"/>
    <mergeCell ref="G37:J37"/>
    <mergeCell ref="F10:F12"/>
    <mergeCell ref="H10:J10"/>
    <mergeCell ref="H11:J11"/>
    <mergeCell ref="G10:G12"/>
  </mergeCells>
  <dataValidations count="1">
    <dataValidation type="decimal" allowBlank="1" showErrorMessage="1" errorTitle="Ошибка" error="Допускается ввод только неотрицательных чисел!" sqref="I29:I31 I33:I35 I40:I43 I45:I47 I50:I53 I55:I57 I16:I27">
      <formula1>0</formula1>
      <formula2>9.99999999999999E+23</formula2>
    </dataValidation>
  </dataValidations>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tint="-0.249977111117893"/>
  </sheetPr>
  <dimension ref="A1:GB24"/>
  <sheetViews>
    <sheetView showGridLines="0" topLeftCell="E4" zoomScale="90" workbookViewId="0"/>
  </sheetViews>
  <sheetFormatPr defaultColWidth="9.140625" defaultRowHeight="12" customHeight="1"/>
  <cols>
    <col min="1" max="1" width="4.7109375" style="1718" hidden="1" customWidth="1"/>
    <col min="2" max="2" width="4.7109375" style="1719" hidden="1" customWidth="1"/>
    <col min="3" max="4" width="4.7109375" style="1718" hidden="1" customWidth="1"/>
    <col min="5" max="5" width="3.5703125" style="1718" customWidth="1"/>
    <col min="6" max="6" width="6.7109375" style="1718" customWidth="1"/>
    <col min="7" max="7" width="18.7109375" style="1718" customWidth="1"/>
    <col min="8" max="8" width="27.28515625" style="1718" customWidth="1"/>
    <col min="9" max="9" width="18.7109375" style="1718" customWidth="1"/>
    <col min="10" max="14" width="0.85546875" style="1718" hidden="1" customWidth="1"/>
    <col min="15" max="28" width="21.7109375" style="1718" hidden="1" customWidth="1"/>
    <col min="29" max="71" width="0.85546875" style="1718" hidden="1" customWidth="1"/>
    <col min="72" max="79" width="21.7109375" style="1718" customWidth="1"/>
    <col min="80" max="81" width="29.140625" style="1718" customWidth="1"/>
    <col min="82" max="89" width="21.7109375" style="1718" customWidth="1"/>
    <col min="90" max="102" width="0.7109375" style="1718" customWidth="1"/>
    <col min="103" max="114" width="21.7109375" style="1718" hidden="1" customWidth="1"/>
    <col min="115" max="178" width="0.7109375" style="1718" hidden="1" customWidth="1"/>
    <col min="179" max="179" width="0.140625" style="1718" customWidth="1"/>
    <col min="180" max="184" width="9.140625" style="1718"/>
  </cols>
  <sheetData>
    <row r="1" spans="2:180" s="1854" customFormat="1" ht="12" hidden="1" customHeight="1">
      <c r="B1" s="822"/>
      <c r="C1" s="823"/>
      <c r="D1" s="823"/>
    </row>
    <row r="2" spans="2:180" s="1854" customFormat="1" ht="12" hidden="1" customHeight="1">
      <c r="B2" s="822"/>
      <c r="C2" s="823"/>
      <c r="D2" s="823"/>
      <c r="E2" s="823"/>
      <c r="F2" s="823"/>
      <c r="G2" s="823"/>
      <c r="H2" s="823"/>
      <c r="I2" s="823"/>
      <c r="J2" s="823"/>
      <c r="K2" s="823"/>
      <c r="L2" s="823"/>
      <c r="M2" s="823"/>
      <c r="N2" s="823"/>
      <c r="O2" s="823"/>
      <c r="P2" s="823"/>
      <c r="Q2" s="823"/>
      <c r="R2" s="823"/>
      <c r="S2" s="823"/>
      <c r="T2" s="823"/>
      <c r="U2" s="823"/>
      <c r="V2" s="823"/>
      <c r="W2" s="823"/>
      <c r="X2" s="823"/>
      <c r="Y2" s="823"/>
      <c r="Z2" s="823"/>
      <c r="AA2" s="823"/>
      <c r="AB2" s="824"/>
      <c r="AC2" s="823"/>
      <c r="AD2" s="823"/>
      <c r="AE2" s="823"/>
      <c r="AF2" s="823"/>
      <c r="AG2" s="823"/>
      <c r="AH2" s="823"/>
      <c r="AI2" s="823"/>
      <c r="AJ2" s="823"/>
      <c r="AK2" s="823"/>
      <c r="AL2" s="823"/>
      <c r="AM2" s="823"/>
      <c r="AN2" s="823"/>
      <c r="AO2" s="823"/>
      <c r="AP2" s="823"/>
      <c r="AQ2" s="823"/>
      <c r="AR2" s="823"/>
      <c r="AS2" s="823"/>
      <c r="AT2" s="823"/>
      <c r="AU2" s="823"/>
      <c r="AV2" s="823"/>
      <c r="AW2" s="823"/>
      <c r="AX2" s="823"/>
      <c r="AY2" s="823"/>
      <c r="AZ2" s="823"/>
      <c r="BA2" s="823"/>
      <c r="BB2" s="823"/>
      <c r="BC2" s="823"/>
      <c r="BD2" s="823"/>
      <c r="BE2" s="823"/>
      <c r="BF2" s="823"/>
      <c r="BG2" s="823"/>
      <c r="BH2" s="823"/>
      <c r="BI2" s="823"/>
      <c r="BJ2" s="823"/>
      <c r="BK2" s="823"/>
      <c r="BL2" s="823"/>
      <c r="BM2" s="823"/>
      <c r="BN2" s="823"/>
      <c r="BO2" s="823"/>
      <c r="BP2" s="823"/>
      <c r="BQ2" s="823"/>
      <c r="BR2" s="823"/>
      <c r="BS2" s="823"/>
      <c r="BT2" s="823"/>
      <c r="BU2" s="823"/>
      <c r="BV2" s="823"/>
      <c r="BW2" s="823"/>
      <c r="BX2" s="823"/>
      <c r="BY2" s="823"/>
      <c r="BZ2" s="823"/>
      <c r="CA2" s="823"/>
      <c r="CB2" s="823"/>
      <c r="CC2" s="823"/>
      <c r="CD2" s="823"/>
      <c r="CE2" s="823"/>
      <c r="CF2" s="823"/>
      <c r="CG2" s="823"/>
      <c r="CH2" s="823"/>
      <c r="CI2" s="823"/>
      <c r="CJ2" s="823"/>
      <c r="CK2" s="823"/>
      <c r="CL2" s="823"/>
      <c r="CM2" s="823"/>
      <c r="CN2" s="823"/>
      <c r="CO2" s="823"/>
      <c r="CP2" s="823"/>
      <c r="CQ2" s="823"/>
      <c r="CR2" s="823"/>
      <c r="CS2" s="823"/>
      <c r="CT2" s="823"/>
      <c r="CU2" s="823"/>
      <c r="CV2" s="823"/>
      <c r="CW2" s="823"/>
      <c r="CX2" s="823"/>
      <c r="CY2" s="823"/>
      <c r="CZ2" s="823"/>
      <c r="DA2" s="823"/>
      <c r="DB2" s="823"/>
      <c r="DC2" s="823"/>
      <c r="DD2" s="823"/>
      <c r="DE2" s="823"/>
      <c r="DF2" s="823"/>
      <c r="DG2" s="823"/>
      <c r="DH2" s="823"/>
      <c r="DI2" s="823"/>
      <c r="DJ2" s="823"/>
      <c r="DK2" s="823"/>
      <c r="DL2" s="823"/>
      <c r="DM2" s="823"/>
      <c r="DN2" s="823"/>
      <c r="DO2" s="823"/>
      <c r="DP2" s="823"/>
      <c r="DQ2" s="823"/>
      <c r="DR2" s="823"/>
      <c r="DS2" s="823"/>
      <c r="DT2" s="823"/>
      <c r="DU2" s="823"/>
      <c r="DV2" s="823"/>
      <c r="DW2" s="823"/>
      <c r="DX2" s="823"/>
      <c r="DY2" s="823"/>
      <c r="DZ2" s="823"/>
      <c r="EA2" s="823"/>
      <c r="EB2" s="823"/>
      <c r="EC2" s="823"/>
      <c r="ED2" s="823"/>
      <c r="EE2" s="823"/>
      <c r="EF2" s="823"/>
      <c r="EG2" s="823"/>
      <c r="EH2" s="823"/>
      <c r="EI2" s="823"/>
      <c r="EJ2" s="823"/>
      <c r="EK2" s="823"/>
      <c r="EL2" s="823"/>
      <c r="EM2" s="823"/>
      <c r="EN2" s="823"/>
      <c r="EO2" s="823"/>
      <c r="EP2" s="823"/>
      <c r="EQ2" s="823"/>
      <c r="ER2" s="823"/>
      <c r="ES2" s="823"/>
      <c r="ET2" s="823"/>
      <c r="EU2" s="823"/>
      <c r="EV2" s="823"/>
      <c r="EW2" s="823"/>
      <c r="EX2" s="823"/>
      <c r="EY2" s="823"/>
      <c r="EZ2" s="823"/>
      <c r="FA2" s="823"/>
      <c r="FB2" s="823"/>
      <c r="FC2" s="823"/>
      <c r="FD2" s="823"/>
      <c r="FE2" s="823"/>
      <c r="FF2" s="823"/>
      <c r="FG2" s="823"/>
      <c r="FH2" s="823"/>
      <c r="FI2" s="823"/>
      <c r="FJ2" s="823"/>
      <c r="FK2" s="823"/>
      <c r="FL2" s="823"/>
      <c r="FM2" s="823"/>
      <c r="FN2" s="823"/>
      <c r="FO2" s="823"/>
      <c r="FP2" s="823"/>
      <c r="FQ2" s="823"/>
      <c r="FR2" s="823"/>
      <c r="FS2" s="823"/>
      <c r="FT2" s="823"/>
      <c r="FU2" s="823"/>
      <c r="FV2" s="823"/>
      <c r="FW2" s="823"/>
    </row>
    <row r="3" spans="2:180" s="1854" customFormat="1" ht="12" hidden="1" customHeight="1">
      <c r="B3" s="822"/>
      <c r="C3" s="823"/>
      <c r="D3" s="823"/>
      <c r="E3" s="823"/>
      <c r="F3" s="823"/>
      <c r="G3" s="823"/>
      <c r="H3" s="823"/>
      <c r="I3" s="823"/>
      <c r="J3" s="823"/>
      <c r="K3" s="823"/>
      <c r="L3" s="823"/>
      <c r="M3" s="823"/>
      <c r="N3" s="823"/>
      <c r="O3" s="823"/>
      <c r="P3" s="823"/>
      <c r="Q3" s="823"/>
      <c r="R3" s="823"/>
      <c r="S3" s="823"/>
      <c r="T3" s="823"/>
      <c r="U3" s="823"/>
      <c r="V3" s="823"/>
      <c r="W3" s="823"/>
      <c r="X3" s="823"/>
      <c r="Y3" s="823"/>
      <c r="Z3" s="823"/>
      <c r="AA3" s="823"/>
      <c r="AB3" s="824"/>
      <c r="AC3" s="823"/>
      <c r="AD3" s="823"/>
      <c r="AE3" s="823"/>
      <c r="AF3" s="823"/>
      <c r="AG3" s="823"/>
      <c r="AH3" s="823"/>
      <c r="AI3" s="823"/>
      <c r="AJ3" s="823"/>
      <c r="AK3" s="823"/>
      <c r="AL3" s="823"/>
      <c r="AM3" s="823"/>
      <c r="AN3" s="823"/>
      <c r="AO3" s="823"/>
      <c r="AP3" s="823"/>
      <c r="AQ3" s="823"/>
      <c r="AR3" s="823"/>
      <c r="AS3" s="823"/>
      <c r="AT3" s="823"/>
      <c r="AU3" s="823"/>
      <c r="AV3" s="823"/>
      <c r="AW3" s="823"/>
      <c r="AX3" s="823"/>
      <c r="AY3" s="823"/>
      <c r="AZ3" s="823"/>
      <c r="BA3" s="823"/>
      <c r="BB3" s="823"/>
      <c r="BC3" s="823"/>
      <c r="BD3" s="823"/>
      <c r="BE3" s="823"/>
      <c r="BF3" s="823"/>
      <c r="BG3" s="823"/>
      <c r="BH3" s="823"/>
      <c r="BI3" s="823"/>
      <c r="BJ3" s="823"/>
      <c r="BK3" s="823"/>
      <c r="BL3" s="823"/>
      <c r="BM3" s="823"/>
      <c r="BN3" s="823"/>
      <c r="BO3" s="823"/>
      <c r="BP3" s="823"/>
      <c r="BQ3" s="823"/>
      <c r="BR3" s="823"/>
      <c r="BS3" s="823"/>
      <c r="BT3" s="823"/>
      <c r="BU3" s="823"/>
      <c r="BV3" s="823"/>
      <c r="BW3" s="823"/>
      <c r="BX3" s="823"/>
      <c r="BY3" s="823"/>
      <c r="BZ3" s="823"/>
      <c r="CA3" s="823"/>
      <c r="CB3" s="823"/>
      <c r="CC3" s="823"/>
      <c r="CD3" s="823"/>
      <c r="CE3" s="823"/>
      <c r="CF3" s="823"/>
      <c r="CG3" s="823"/>
      <c r="CH3" s="823"/>
      <c r="CI3" s="823"/>
      <c r="CJ3" s="823"/>
      <c r="CK3" s="823"/>
      <c r="CL3" s="823"/>
      <c r="CM3" s="823"/>
      <c r="CN3" s="823"/>
      <c r="CO3" s="823"/>
      <c r="CP3" s="823"/>
      <c r="CQ3" s="823"/>
      <c r="CR3" s="823"/>
      <c r="CS3" s="823"/>
      <c r="CT3" s="823"/>
      <c r="CU3" s="823"/>
      <c r="CV3" s="823"/>
      <c r="CW3" s="823"/>
      <c r="CX3" s="823"/>
      <c r="CY3" s="823"/>
      <c r="CZ3" s="823"/>
      <c r="DA3" s="823"/>
      <c r="DB3" s="823"/>
      <c r="DC3" s="823"/>
      <c r="DD3" s="823"/>
      <c r="DE3" s="823"/>
      <c r="DF3" s="823"/>
      <c r="DG3" s="823"/>
      <c r="DH3" s="823"/>
      <c r="DI3" s="823"/>
      <c r="DJ3" s="823"/>
      <c r="DK3" s="823"/>
      <c r="DL3" s="823"/>
      <c r="DM3" s="823"/>
      <c r="DN3" s="823"/>
      <c r="DO3" s="823"/>
      <c r="DP3" s="823"/>
      <c r="DQ3" s="823"/>
      <c r="DR3" s="823"/>
      <c r="DS3" s="823"/>
      <c r="DT3" s="823"/>
      <c r="DU3" s="823"/>
      <c r="DV3" s="823"/>
      <c r="DW3" s="823"/>
      <c r="DX3" s="823"/>
      <c r="DY3" s="823"/>
      <c r="DZ3" s="823"/>
      <c r="EA3" s="823"/>
      <c r="EB3" s="823"/>
      <c r="EC3" s="823"/>
      <c r="ED3" s="823"/>
      <c r="EE3" s="823"/>
      <c r="EF3" s="823"/>
      <c r="EG3" s="823"/>
      <c r="EH3" s="823"/>
      <c r="EI3" s="823"/>
      <c r="EJ3" s="823"/>
      <c r="EK3" s="823"/>
      <c r="EL3" s="823"/>
      <c r="EM3" s="823"/>
      <c r="EN3" s="823"/>
      <c r="EO3" s="823"/>
      <c r="EP3" s="823"/>
      <c r="EQ3" s="823"/>
      <c r="ER3" s="823"/>
      <c r="ES3" s="823"/>
      <c r="ET3" s="823"/>
      <c r="EU3" s="823"/>
      <c r="EV3" s="823"/>
      <c r="EW3" s="823"/>
      <c r="EX3" s="823"/>
      <c r="EY3" s="823"/>
      <c r="EZ3" s="823"/>
      <c r="FA3" s="823"/>
      <c r="FB3" s="823"/>
      <c r="FC3" s="823"/>
      <c r="FD3" s="823"/>
      <c r="FE3" s="823"/>
      <c r="FF3" s="823"/>
      <c r="FG3" s="823"/>
      <c r="FH3" s="823"/>
      <c r="FI3" s="823"/>
      <c r="FJ3" s="823"/>
      <c r="FK3" s="823"/>
      <c r="FL3" s="823"/>
      <c r="FM3" s="823"/>
      <c r="FN3" s="823"/>
      <c r="FO3" s="823"/>
      <c r="FP3" s="823"/>
      <c r="FQ3" s="823"/>
      <c r="FR3" s="823"/>
      <c r="FS3" s="823"/>
      <c r="FT3" s="823"/>
      <c r="FU3" s="823"/>
      <c r="FV3" s="823"/>
      <c r="FW3" s="823"/>
    </row>
    <row r="4" spans="2:180" ht="10.5" customHeight="1">
      <c r="B4" s="825"/>
      <c r="C4" s="826"/>
      <c r="D4" s="826"/>
      <c r="E4" s="826"/>
      <c r="F4" s="826"/>
      <c r="G4" s="826"/>
      <c r="H4" s="827"/>
      <c r="I4" s="827"/>
      <c r="J4" s="827"/>
      <c r="K4" s="827"/>
      <c r="L4" s="827"/>
      <c r="M4" s="828"/>
      <c r="N4" s="828"/>
      <c r="O4" s="828"/>
      <c r="P4" s="828"/>
      <c r="Q4" s="828"/>
      <c r="R4" s="828"/>
      <c r="S4" s="828"/>
      <c r="T4" s="828"/>
      <c r="U4" s="828"/>
      <c r="V4" s="828"/>
      <c r="W4" s="828"/>
      <c r="X4" s="828"/>
      <c r="Y4" s="828"/>
      <c r="Z4" s="828"/>
      <c r="AA4" s="828"/>
      <c r="AB4" s="828"/>
      <c r="AC4" s="828"/>
      <c r="AD4" s="828"/>
      <c r="AE4" s="828"/>
      <c r="AF4" s="828"/>
      <c r="AG4" s="828"/>
      <c r="AH4" s="828"/>
      <c r="AI4" s="828"/>
      <c r="AJ4" s="828"/>
      <c r="AK4" s="828"/>
      <c r="AL4" s="828"/>
      <c r="AM4" s="828"/>
      <c r="AN4" s="828"/>
      <c r="AO4" s="828"/>
      <c r="AP4" s="828"/>
      <c r="AQ4" s="828"/>
      <c r="AR4" s="828"/>
      <c r="AS4" s="828"/>
      <c r="AT4" s="828"/>
      <c r="AU4" s="828"/>
      <c r="AV4" s="828"/>
      <c r="AW4" s="828"/>
      <c r="AX4" s="828"/>
      <c r="AY4" s="828"/>
      <c r="AZ4" s="828"/>
      <c r="BA4" s="828"/>
      <c r="BB4" s="828"/>
      <c r="BC4" s="828"/>
      <c r="BD4" s="828"/>
      <c r="BE4" s="828"/>
      <c r="BF4" s="828"/>
      <c r="BG4" s="828"/>
      <c r="BH4" s="828"/>
      <c r="BI4" s="828"/>
      <c r="BJ4" s="828"/>
      <c r="BK4" s="828"/>
      <c r="BL4" s="828"/>
      <c r="BM4" s="828"/>
      <c r="BN4" s="828"/>
      <c r="BO4" s="828"/>
      <c r="BP4" s="828"/>
      <c r="BQ4" s="828"/>
      <c r="BR4" s="828"/>
      <c r="BS4" s="828"/>
      <c r="BT4" s="828"/>
      <c r="BU4" s="828"/>
      <c r="BV4" s="828"/>
      <c r="BW4" s="828"/>
      <c r="BX4" s="828"/>
      <c r="BY4" s="828"/>
      <c r="BZ4" s="828"/>
      <c r="CA4" s="828"/>
      <c r="CB4" s="828"/>
      <c r="CC4" s="828"/>
      <c r="CD4" s="828"/>
      <c r="CE4" s="828"/>
      <c r="CF4" s="828"/>
      <c r="CG4" s="828"/>
      <c r="CH4" s="828"/>
      <c r="CI4" s="828"/>
      <c r="CJ4" s="828"/>
      <c r="CK4" s="828"/>
      <c r="CL4" s="828"/>
      <c r="CM4" s="828"/>
      <c r="CN4" s="828"/>
      <c r="CO4" s="828"/>
      <c r="CP4" s="828"/>
      <c r="CQ4" s="828"/>
      <c r="CR4" s="828"/>
      <c r="CS4" s="828"/>
      <c r="CT4" s="828"/>
      <c r="CU4" s="828"/>
      <c r="CV4" s="828"/>
      <c r="CW4" s="828"/>
      <c r="CX4" s="828"/>
      <c r="CY4" s="828"/>
      <c r="CZ4" s="828"/>
      <c r="DA4" s="828"/>
      <c r="DB4" s="828"/>
      <c r="DC4" s="828"/>
      <c r="DD4" s="828"/>
      <c r="DE4" s="828"/>
      <c r="DF4" s="828"/>
      <c r="DG4" s="828"/>
      <c r="DH4" s="828"/>
      <c r="DI4" s="828"/>
      <c r="DJ4" s="828"/>
      <c r="DK4" s="828"/>
      <c r="DL4" s="828"/>
      <c r="DM4" s="828"/>
      <c r="DN4" s="828"/>
      <c r="DO4" s="828"/>
      <c r="DP4" s="828"/>
      <c r="DQ4" s="828"/>
      <c r="DR4" s="828"/>
      <c r="DS4" s="828"/>
      <c r="DT4" s="828"/>
      <c r="DU4" s="828"/>
      <c r="DV4" s="828"/>
      <c r="DW4" s="828"/>
      <c r="DX4" s="828"/>
      <c r="DY4" s="828"/>
      <c r="DZ4" s="828"/>
      <c r="EA4" s="828"/>
      <c r="EB4" s="828"/>
      <c r="EC4" s="828"/>
      <c r="ED4" s="828"/>
      <c r="EE4" s="828"/>
      <c r="EF4" s="828"/>
      <c r="EG4" s="828"/>
      <c r="EH4" s="828"/>
      <c r="EI4" s="828"/>
      <c r="EJ4" s="828"/>
      <c r="EK4" s="828"/>
      <c r="EL4" s="828"/>
      <c r="EM4" s="828"/>
      <c r="EN4" s="828"/>
      <c r="EO4" s="828"/>
      <c r="EP4" s="828"/>
      <c r="EQ4" s="828"/>
      <c r="ER4" s="828"/>
      <c r="ES4" s="828"/>
      <c r="ET4" s="828"/>
      <c r="EU4" s="828"/>
      <c r="EV4" s="828"/>
      <c r="EW4" s="828"/>
      <c r="EX4" s="828"/>
      <c r="EY4" s="828"/>
      <c r="EZ4" s="828"/>
      <c r="FA4" s="828"/>
      <c r="FB4" s="828"/>
      <c r="FC4" s="828"/>
      <c r="FD4" s="828"/>
      <c r="FE4" s="828"/>
      <c r="FF4" s="828"/>
      <c r="FG4" s="828"/>
      <c r="FH4" s="828"/>
      <c r="FI4" s="828"/>
      <c r="FJ4" s="828"/>
      <c r="FK4" s="828"/>
      <c r="FL4" s="828"/>
      <c r="FM4" s="828"/>
      <c r="FN4" s="828"/>
      <c r="FO4" s="828"/>
      <c r="FP4" s="828"/>
      <c r="FQ4" s="828"/>
      <c r="FR4" s="828"/>
      <c r="FS4" s="828"/>
      <c r="FT4" s="828"/>
      <c r="FU4" s="828"/>
      <c r="FV4" s="828"/>
      <c r="FW4" s="828"/>
    </row>
    <row r="5" spans="2:180" s="1935" customFormat="1" ht="24" customHeight="1">
      <c r="B5" s="840"/>
      <c r="E5" s="841"/>
      <c r="F5" s="2000" t="str">
        <f>"Информация о реализации инвестиционных программ и показатели качества, надежности и энергетической эффективности в сфере "&amp;TEMPLATE_SPHERE_RUS&amp;" на "&amp;TITLE_FIL_YEAR&amp;" год"</f>
        <v>Информация о реализации инвестиционных программ и показатели качества, надежности и энергетической эффективности в сфере горячего водоснабжения на 2023 год</v>
      </c>
      <c r="G5" s="2001"/>
      <c r="H5" s="2001"/>
      <c r="I5" s="2001"/>
      <c r="J5" s="2001"/>
      <c r="K5" s="2001"/>
      <c r="L5" s="2001"/>
      <c r="M5" s="2001"/>
      <c r="N5" s="2001"/>
      <c r="O5" s="2001"/>
      <c r="P5" s="2001"/>
      <c r="Q5" s="2001"/>
      <c r="R5" s="2001"/>
      <c r="S5" s="2001"/>
      <c r="T5" s="2001"/>
      <c r="U5" s="2001"/>
      <c r="V5" s="2001"/>
      <c r="W5" s="2001"/>
      <c r="X5" s="2001"/>
      <c r="Y5" s="2001"/>
      <c r="Z5" s="2001"/>
      <c r="AA5" s="2001"/>
      <c r="AB5" s="2001"/>
      <c r="AC5" s="2001"/>
      <c r="AD5" s="2001"/>
      <c r="AE5" s="2001"/>
      <c r="AF5" s="2001"/>
      <c r="AG5" s="2001"/>
      <c r="AH5" s="2001"/>
      <c r="AI5" s="2001"/>
      <c r="AJ5" s="2001"/>
      <c r="AK5" s="2001"/>
      <c r="AL5" s="2001"/>
      <c r="AM5" s="2001"/>
      <c r="AN5" s="2001"/>
      <c r="AO5" s="2001"/>
      <c r="AP5" s="2001"/>
      <c r="AQ5" s="2001"/>
      <c r="AR5" s="2001"/>
      <c r="AS5" s="2001"/>
      <c r="AT5" s="2001"/>
      <c r="AU5" s="2001"/>
      <c r="AV5" s="2001"/>
      <c r="AW5" s="2001"/>
      <c r="AX5" s="2001"/>
      <c r="AY5" s="2001"/>
      <c r="AZ5" s="2001"/>
      <c r="BA5" s="2001"/>
      <c r="BB5" s="2001"/>
      <c r="BC5" s="2001"/>
      <c r="BD5" s="2001"/>
      <c r="BE5" s="2001"/>
      <c r="BF5" s="2001"/>
      <c r="BG5" s="2001"/>
      <c r="BH5" s="2001"/>
      <c r="BI5" s="2001"/>
      <c r="BJ5" s="2001"/>
      <c r="BK5" s="2001"/>
      <c r="BL5" s="2001"/>
      <c r="BM5" s="2001"/>
      <c r="BN5" s="2001"/>
      <c r="BO5" s="2001"/>
      <c r="BP5" s="2001"/>
      <c r="BQ5" s="2001"/>
      <c r="BR5" s="2001"/>
      <c r="BS5" s="2001"/>
    </row>
    <row r="6" spans="2:180" s="1935" customFormat="1" ht="18" customHeight="1">
      <c r="B6" s="840"/>
      <c r="E6" s="841"/>
      <c r="F6" s="2112" t="str">
        <f>IF(org=0,"Не определено",org)</f>
        <v>МУП г. Астрахани "Коммунэнерго"</v>
      </c>
      <c r="G6" s="2113"/>
      <c r="H6" s="2113"/>
      <c r="I6" s="2113"/>
      <c r="J6" s="2113"/>
      <c r="K6" s="2113"/>
      <c r="L6" s="2113"/>
      <c r="M6" s="2113"/>
      <c r="N6" s="2113"/>
      <c r="O6" s="2113"/>
      <c r="P6" s="2113"/>
      <c r="Q6" s="2113"/>
      <c r="R6" s="2113"/>
      <c r="S6" s="2113"/>
      <c r="T6" s="2113"/>
      <c r="U6" s="2113"/>
      <c r="V6" s="2113"/>
      <c r="W6" s="2113"/>
      <c r="X6" s="2113"/>
      <c r="Y6" s="2113"/>
      <c r="Z6" s="2113"/>
      <c r="AA6" s="2113"/>
      <c r="AB6" s="2113"/>
      <c r="AC6" s="2113"/>
      <c r="AD6" s="2113"/>
      <c r="AE6" s="2113"/>
      <c r="AF6" s="2113"/>
      <c r="AG6" s="2113"/>
      <c r="AH6" s="2113"/>
      <c r="AI6" s="2113"/>
      <c r="AJ6" s="2113"/>
      <c r="AK6" s="2113"/>
      <c r="AL6" s="2113"/>
      <c r="AM6" s="2113"/>
      <c r="AN6" s="2113"/>
      <c r="AO6" s="2113"/>
      <c r="AP6" s="2113"/>
      <c r="AQ6" s="2113"/>
      <c r="AR6" s="2113"/>
      <c r="AS6" s="2113"/>
      <c r="AT6" s="2113"/>
      <c r="AU6" s="2113"/>
      <c r="AV6" s="2113"/>
      <c r="AW6" s="2113"/>
      <c r="AX6" s="2113"/>
      <c r="AY6" s="2113"/>
      <c r="AZ6" s="2113"/>
      <c r="BA6" s="2113"/>
      <c r="BB6" s="2113"/>
      <c r="BC6" s="2113"/>
      <c r="BD6" s="2113"/>
      <c r="BE6" s="2113"/>
      <c r="BF6" s="2113"/>
      <c r="BG6" s="2113"/>
      <c r="BH6" s="2113"/>
      <c r="BI6" s="2113"/>
      <c r="BJ6" s="2113"/>
      <c r="BK6" s="2113"/>
      <c r="BL6" s="2113"/>
      <c r="BM6" s="2113"/>
      <c r="BN6" s="2113"/>
      <c r="BO6" s="2113"/>
      <c r="BP6" s="2113"/>
      <c r="BQ6" s="2113"/>
      <c r="BR6" s="2113"/>
      <c r="BS6" s="2113"/>
    </row>
    <row r="7" spans="2:180" s="1715" customFormat="1" ht="10.5" customHeight="1">
      <c r="B7" s="829"/>
      <c r="E7" s="830"/>
      <c r="F7" s="830"/>
      <c r="G7" s="832"/>
      <c r="H7" s="827"/>
      <c r="I7" s="827"/>
      <c r="J7" s="827"/>
      <c r="K7" s="827"/>
      <c r="L7" s="827"/>
      <c r="M7" s="830"/>
      <c r="N7" s="830"/>
      <c r="O7" s="830"/>
      <c r="P7" s="830"/>
      <c r="Q7" s="830"/>
      <c r="R7" s="830"/>
      <c r="S7" s="830"/>
      <c r="T7" s="830"/>
      <c r="U7" s="830"/>
      <c r="V7" s="830"/>
      <c r="W7" s="830"/>
      <c r="X7" s="830"/>
      <c r="Y7" s="830"/>
      <c r="Z7" s="830"/>
      <c r="AA7" s="830"/>
      <c r="AB7" s="830"/>
      <c r="AC7" s="830"/>
      <c r="AD7" s="830"/>
      <c r="AE7" s="830"/>
      <c r="AF7" s="830"/>
      <c r="AG7" s="830"/>
      <c r="AH7" s="830"/>
      <c r="AI7" s="830"/>
      <c r="AJ7" s="830"/>
      <c r="AK7" s="830"/>
      <c r="AL7" s="830"/>
      <c r="AM7" s="830"/>
      <c r="AN7" s="830"/>
      <c r="AO7" s="830"/>
      <c r="AP7" s="830"/>
      <c r="AQ7" s="830"/>
      <c r="AR7" s="830"/>
      <c r="AS7" s="830"/>
      <c r="AT7" s="830"/>
      <c r="AU7" s="830"/>
      <c r="AV7" s="830"/>
      <c r="AW7" s="830"/>
      <c r="AX7" s="830"/>
      <c r="AY7" s="830"/>
      <c r="AZ7" s="830"/>
      <c r="BA7" s="830"/>
      <c r="BB7" s="830"/>
      <c r="BC7" s="830"/>
      <c r="BD7" s="830"/>
      <c r="BE7" s="830"/>
      <c r="BF7" s="830"/>
      <c r="BG7" s="830"/>
      <c r="BH7" s="830"/>
      <c r="BI7" s="830"/>
      <c r="BJ7" s="830"/>
      <c r="BK7" s="830"/>
      <c r="BL7" s="830"/>
      <c r="BM7" s="830"/>
      <c r="BN7" s="830"/>
      <c r="BO7" s="830"/>
      <c r="BP7" s="830"/>
      <c r="BQ7" s="830"/>
      <c r="BR7" s="830"/>
      <c r="BS7" s="830"/>
      <c r="BT7" s="830"/>
      <c r="BU7" s="830"/>
      <c r="BV7" s="830"/>
      <c r="BW7" s="830"/>
      <c r="BX7" s="830"/>
      <c r="BY7" s="830"/>
      <c r="BZ7" s="830"/>
      <c r="CA7" s="830"/>
      <c r="CB7" s="830"/>
      <c r="CC7" s="830"/>
      <c r="CD7" s="830"/>
      <c r="CE7" s="830"/>
      <c r="CF7" s="830"/>
      <c r="CG7" s="830"/>
      <c r="CH7" s="830"/>
      <c r="CI7" s="830"/>
      <c r="CJ7" s="830"/>
      <c r="CK7" s="830"/>
      <c r="CL7" s="830"/>
      <c r="CM7" s="830"/>
      <c r="CN7" s="830"/>
      <c r="CO7" s="830"/>
      <c r="CP7" s="830"/>
      <c r="CQ7" s="830"/>
      <c r="CR7" s="830"/>
      <c r="CS7" s="830"/>
      <c r="CT7" s="830"/>
      <c r="CU7" s="830"/>
      <c r="CV7" s="830"/>
      <c r="CW7" s="830"/>
      <c r="CX7" s="830"/>
      <c r="CY7" s="830"/>
      <c r="CZ7" s="830"/>
      <c r="DA7" s="830"/>
      <c r="DB7" s="830"/>
      <c r="DC7" s="830"/>
      <c r="DD7" s="830"/>
      <c r="DE7" s="830"/>
      <c r="DF7" s="830"/>
      <c r="DG7" s="830"/>
      <c r="DH7" s="830"/>
      <c r="DI7" s="830"/>
      <c r="DJ7" s="830"/>
      <c r="DK7" s="830"/>
      <c r="DL7" s="830"/>
      <c r="DM7" s="830"/>
      <c r="DN7" s="830"/>
      <c r="DO7" s="830"/>
      <c r="DP7" s="830"/>
      <c r="DQ7" s="830"/>
      <c r="DR7" s="830"/>
      <c r="DS7" s="830"/>
      <c r="DT7" s="830"/>
      <c r="DU7" s="830"/>
      <c r="DV7" s="830"/>
      <c r="DW7" s="830"/>
      <c r="DX7" s="830"/>
      <c r="DY7" s="830"/>
      <c r="DZ7" s="830"/>
      <c r="EA7" s="830"/>
      <c r="EB7" s="830"/>
      <c r="EC7" s="830"/>
      <c r="ED7" s="830"/>
      <c r="EE7" s="830"/>
      <c r="EF7" s="830"/>
      <c r="EG7" s="830"/>
      <c r="EH7" s="830"/>
      <c r="EI7" s="830"/>
      <c r="EJ7" s="830"/>
      <c r="EK7" s="830"/>
      <c r="EL7" s="830"/>
      <c r="EM7" s="830"/>
      <c r="EN7" s="830"/>
      <c r="EO7" s="830"/>
      <c r="EP7" s="830"/>
      <c r="EQ7" s="830"/>
      <c r="ER7" s="830"/>
      <c r="ES7" s="830"/>
      <c r="ET7" s="830"/>
      <c r="EU7" s="830"/>
      <c r="EV7" s="830"/>
      <c r="EW7" s="830"/>
      <c r="EX7" s="830"/>
      <c r="EY7" s="830"/>
      <c r="EZ7" s="830"/>
      <c r="FA7" s="830"/>
      <c r="FB7" s="830"/>
      <c r="FC7" s="830"/>
      <c r="FD7" s="830"/>
      <c r="FE7" s="830"/>
      <c r="FF7" s="830"/>
      <c r="FG7" s="830"/>
      <c r="FH7" s="830"/>
      <c r="FI7" s="830"/>
      <c r="FJ7" s="830"/>
      <c r="FK7" s="830"/>
      <c r="FL7" s="830"/>
      <c r="FM7" s="830"/>
      <c r="FN7" s="830"/>
      <c r="FO7" s="830"/>
      <c r="FP7" s="830"/>
      <c r="FQ7" s="830"/>
      <c r="FR7" s="830"/>
      <c r="FS7" s="830"/>
      <c r="FT7" s="830"/>
      <c r="FU7" s="830"/>
      <c r="FV7" s="830"/>
      <c r="FW7" s="830"/>
    </row>
    <row r="8" spans="2:180" s="1715" customFormat="1" ht="11.25" hidden="1" customHeight="1">
      <c r="B8" s="831"/>
      <c r="F8" s="941"/>
      <c r="G8" s="673"/>
      <c r="H8" s="284"/>
      <c r="I8" s="284"/>
      <c r="J8" s="284"/>
      <c r="K8" s="284"/>
      <c r="L8" s="284"/>
      <c r="M8" s="941"/>
      <c r="N8" s="941"/>
      <c r="O8" s="2370" t="s">
        <v>2046</v>
      </c>
      <c r="P8" s="2371"/>
      <c r="Q8" s="2371"/>
      <c r="R8" s="2371"/>
      <c r="S8" s="2371"/>
      <c r="T8" s="2371"/>
      <c r="U8" s="2371"/>
      <c r="V8" s="2371"/>
      <c r="W8" s="2371"/>
      <c r="X8" s="2371"/>
      <c r="Y8" s="2371"/>
      <c r="Z8" s="2371"/>
      <c r="AA8" s="2371"/>
      <c r="AB8" s="2371"/>
      <c r="AC8" s="2371"/>
      <c r="AD8" s="2371"/>
      <c r="AE8" s="2371"/>
      <c r="AF8" s="2371"/>
      <c r="AG8" s="2371"/>
      <c r="AH8" s="2371"/>
      <c r="AI8" s="2371"/>
      <c r="AJ8" s="2371"/>
      <c r="AK8" s="2371"/>
      <c r="AL8" s="2371"/>
      <c r="AM8" s="2371"/>
      <c r="AN8" s="2371"/>
      <c r="AO8" s="2371"/>
      <c r="AP8" s="2371"/>
      <c r="AQ8" s="2371"/>
      <c r="AR8" s="2371"/>
      <c r="AS8" s="2371"/>
      <c r="AT8" s="2371"/>
      <c r="AU8" s="2371"/>
      <c r="AV8" s="2371"/>
      <c r="AW8" s="2371"/>
      <c r="AX8" s="2371"/>
      <c r="AY8" s="2371"/>
      <c r="AZ8" s="2371"/>
      <c r="BA8" s="2371"/>
      <c r="BB8" s="2371"/>
      <c r="BC8" s="2371"/>
      <c r="BD8" s="2371"/>
      <c r="BE8" s="2371"/>
      <c r="BF8" s="2371"/>
      <c r="BG8" s="2371"/>
      <c r="BH8" s="2371"/>
      <c r="BI8" s="2371"/>
      <c r="BJ8" s="2371"/>
      <c r="BK8" s="2371"/>
      <c r="BL8" s="2371"/>
      <c r="BM8" s="2371"/>
      <c r="BN8" s="2371"/>
      <c r="BO8" s="2371"/>
      <c r="BP8" s="2371"/>
      <c r="BQ8" s="2371"/>
      <c r="BR8" s="2371"/>
      <c r="BS8" s="2372"/>
      <c r="BT8" s="2373"/>
      <c r="BU8" s="2374"/>
      <c r="BV8" s="2374"/>
      <c r="BW8" s="2374"/>
      <c r="BX8" s="2374"/>
      <c r="BY8" s="2374"/>
      <c r="BZ8" s="2374"/>
      <c r="CA8" s="2374"/>
      <c r="CB8" s="2374"/>
      <c r="CC8" s="2374"/>
      <c r="CD8" s="2374"/>
      <c r="CE8" s="2374"/>
      <c r="CF8" s="2374"/>
      <c r="CG8" s="2374"/>
      <c r="CH8" s="2374"/>
      <c r="CI8" s="2374"/>
      <c r="CJ8" s="2374"/>
      <c r="CK8" s="2374"/>
      <c r="CL8" s="2374"/>
      <c r="CM8" s="2374"/>
      <c r="CN8" s="2374"/>
      <c r="CO8" s="2374"/>
      <c r="CP8" s="2374"/>
      <c r="CQ8" s="2374"/>
      <c r="CR8" s="2374"/>
      <c r="CS8" s="2374"/>
      <c r="CT8" s="2374"/>
      <c r="CU8" s="2374"/>
      <c r="CV8" s="2374"/>
      <c r="CW8" s="2374"/>
      <c r="CX8" s="2375"/>
      <c r="CY8" s="2376"/>
      <c r="CZ8" s="2377"/>
      <c r="DA8" s="2377"/>
      <c r="DB8" s="2377"/>
      <c r="DC8" s="2377"/>
      <c r="DD8" s="2377"/>
      <c r="DE8" s="2377"/>
      <c r="DF8" s="2377"/>
      <c r="DG8" s="2377"/>
      <c r="DH8" s="2377"/>
      <c r="DI8" s="2377"/>
      <c r="DJ8" s="2377"/>
      <c r="DK8" s="2377"/>
      <c r="DL8" s="2377"/>
      <c r="DM8" s="2377"/>
      <c r="DN8" s="2377"/>
      <c r="DO8" s="2377"/>
      <c r="DP8" s="2377"/>
      <c r="DQ8" s="2377"/>
      <c r="DR8" s="2377"/>
      <c r="DS8" s="2377"/>
      <c r="DT8" s="2377"/>
      <c r="DU8" s="2377"/>
      <c r="DV8" s="2377"/>
      <c r="DW8" s="2377"/>
      <c r="DX8" s="2378"/>
      <c r="DY8" s="2364" t="s">
        <v>2047</v>
      </c>
      <c r="DZ8" s="2365"/>
      <c r="EA8" s="2365"/>
      <c r="EB8" s="2365"/>
      <c r="EC8" s="2365"/>
      <c r="ED8" s="2365"/>
      <c r="EE8" s="2365"/>
      <c r="EF8" s="2365"/>
      <c r="EG8" s="2365"/>
      <c r="EH8" s="2365"/>
      <c r="EI8" s="2365"/>
      <c r="EJ8" s="2365"/>
      <c r="EK8" s="2365"/>
      <c r="EL8" s="2365"/>
      <c r="EM8" s="2365"/>
      <c r="EN8" s="2365"/>
      <c r="EO8" s="2365"/>
      <c r="EP8" s="2365"/>
      <c r="EQ8" s="2365"/>
      <c r="ER8" s="2365"/>
      <c r="ES8" s="2365"/>
      <c r="ET8" s="2365"/>
      <c r="EU8" s="2365"/>
      <c r="EV8" s="2365"/>
      <c r="EW8" s="2365"/>
      <c r="EX8" s="2365"/>
      <c r="EY8" s="2365"/>
      <c r="EZ8" s="2365"/>
      <c r="FA8" s="2365"/>
      <c r="FB8" s="2365"/>
      <c r="FC8" s="2365"/>
      <c r="FD8" s="2365"/>
      <c r="FE8" s="2365"/>
      <c r="FF8" s="2365"/>
      <c r="FG8" s="2365"/>
      <c r="FH8" s="2365"/>
      <c r="FI8" s="2365"/>
      <c r="FJ8" s="2365"/>
      <c r="FK8" s="2365"/>
      <c r="FL8" s="2365"/>
      <c r="FM8" s="2365"/>
      <c r="FN8" s="2365"/>
      <c r="FO8" s="2365"/>
      <c r="FP8" s="2365"/>
      <c r="FQ8" s="2365"/>
      <c r="FR8" s="2365"/>
      <c r="FS8" s="2365"/>
      <c r="FT8" s="2365"/>
      <c r="FU8" s="2365"/>
      <c r="FV8" s="2365"/>
      <c r="FW8" s="2366"/>
      <c r="FX8" s="941"/>
    </row>
    <row r="9" spans="2:180" s="1715" customFormat="1" ht="11.25" hidden="1" customHeight="1">
      <c r="B9" s="831"/>
      <c r="F9" s="941"/>
      <c r="G9" s="673"/>
      <c r="H9" s="284"/>
      <c r="I9" s="284"/>
      <c r="J9" s="284"/>
      <c r="K9" s="284"/>
      <c r="L9" s="284"/>
      <c r="M9" s="941"/>
      <c r="N9" s="941"/>
      <c r="O9" s="941"/>
      <c r="P9" s="941"/>
      <c r="Q9" s="941"/>
      <c r="R9" s="941"/>
      <c r="S9" s="941"/>
      <c r="T9" s="941"/>
      <c r="U9" s="941"/>
      <c r="V9" s="941"/>
      <c r="W9" s="941"/>
      <c r="X9" s="941"/>
      <c r="Y9" s="941"/>
      <c r="Z9" s="941"/>
      <c r="AA9" s="941"/>
      <c r="AB9" s="941"/>
      <c r="AC9" s="941"/>
      <c r="AD9" s="941"/>
      <c r="AE9" s="941"/>
      <c r="AF9" s="941"/>
      <c r="AG9" s="941"/>
      <c r="AH9" s="941"/>
      <c r="AI9" s="941"/>
      <c r="AJ9" s="941"/>
      <c r="AK9" s="941"/>
      <c r="AL9" s="941"/>
      <c r="AM9" s="941"/>
      <c r="AN9" s="941"/>
      <c r="AO9" s="941"/>
      <c r="AP9" s="941"/>
      <c r="AQ9" s="941"/>
      <c r="AR9" s="941"/>
      <c r="AS9" s="941"/>
      <c r="AT9" s="941"/>
      <c r="AU9" s="941"/>
      <c r="AV9" s="941"/>
      <c r="AW9" s="941"/>
      <c r="AX9" s="941"/>
      <c r="AY9" s="941"/>
      <c r="AZ9" s="941"/>
      <c r="BA9" s="941"/>
      <c r="BB9" s="941"/>
      <c r="BC9" s="941"/>
      <c r="BD9" s="941"/>
      <c r="BE9" s="941"/>
      <c r="BF9" s="941"/>
      <c r="BG9" s="941"/>
      <c r="BH9" s="941"/>
      <c r="BI9" s="941"/>
      <c r="BJ9" s="941"/>
      <c r="BK9" s="941"/>
      <c r="BL9" s="941"/>
      <c r="BM9" s="941"/>
      <c r="BN9" s="941"/>
      <c r="BO9" s="941"/>
      <c r="BP9" s="941"/>
      <c r="BQ9" s="941"/>
      <c r="BR9" s="941"/>
      <c r="BS9" s="941"/>
      <c r="BT9" s="941"/>
      <c r="BU9" s="941"/>
      <c r="BV9" s="941"/>
      <c r="BW9" s="941"/>
      <c r="BX9" s="941"/>
      <c r="BY9" s="941"/>
      <c r="BZ9" s="941"/>
      <c r="CA9" s="941"/>
      <c r="CB9" s="941"/>
      <c r="CC9" s="941"/>
      <c r="CD9" s="941"/>
      <c r="CE9" s="941"/>
      <c r="CF9" s="941"/>
      <c r="CG9" s="941"/>
      <c r="CH9" s="941"/>
      <c r="CI9" s="941"/>
      <c r="CJ9" s="941"/>
      <c r="CK9" s="941"/>
      <c r="CL9" s="941"/>
      <c r="CM9" s="941"/>
      <c r="CN9" s="941"/>
      <c r="CO9" s="941"/>
      <c r="CP9" s="941"/>
      <c r="CQ9" s="941"/>
      <c r="CR9" s="941"/>
      <c r="CS9" s="941"/>
      <c r="CT9" s="941"/>
      <c r="CU9" s="941"/>
      <c r="CV9" s="941"/>
      <c r="CW9" s="941"/>
      <c r="CX9" s="941"/>
      <c r="CY9" s="941"/>
      <c r="CZ9" s="941"/>
      <c r="DA9" s="941"/>
      <c r="DB9" s="941"/>
      <c r="DC9" s="941"/>
      <c r="DD9" s="941"/>
      <c r="DE9" s="941"/>
      <c r="DF9" s="941"/>
      <c r="DG9" s="941"/>
      <c r="DH9" s="941"/>
      <c r="DI9" s="941"/>
      <c r="DJ9" s="941"/>
      <c r="DK9" s="941"/>
      <c r="DL9" s="941"/>
      <c r="DM9" s="941"/>
      <c r="DN9" s="941"/>
      <c r="DO9" s="941"/>
      <c r="DP9" s="941"/>
      <c r="DQ9" s="941"/>
      <c r="DR9" s="941"/>
      <c r="DS9" s="941"/>
      <c r="DT9" s="941"/>
      <c r="DU9" s="941"/>
      <c r="DV9" s="941"/>
      <c r="DW9" s="941"/>
      <c r="DX9" s="941"/>
      <c r="DY9" s="941"/>
      <c r="DZ9" s="941"/>
      <c r="EA9" s="941"/>
      <c r="EB9" s="941"/>
      <c r="EC9" s="941"/>
      <c r="ED9" s="941"/>
      <c r="EE9" s="941"/>
      <c r="EF9" s="941"/>
      <c r="EG9" s="941"/>
      <c r="EH9" s="941"/>
      <c r="EI9" s="941"/>
      <c r="EJ9" s="941"/>
      <c r="EK9" s="941"/>
      <c r="EL9" s="941"/>
      <c r="EM9" s="941"/>
      <c r="EN9" s="941"/>
      <c r="EO9" s="941"/>
      <c r="EP9" s="941"/>
      <c r="EQ9" s="941"/>
      <c r="ER9" s="941"/>
      <c r="ES9" s="941"/>
      <c r="ET9" s="941"/>
      <c r="EU9" s="941"/>
      <c r="EV9" s="941"/>
      <c r="EW9" s="941"/>
      <c r="EX9" s="941"/>
      <c r="EY9" s="941"/>
      <c r="EZ9" s="941"/>
      <c r="FA9" s="941"/>
      <c r="FB9" s="941"/>
      <c r="FC9" s="941"/>
      <c r="FD9" s="941"/>
      <c r="FE9" s="941"/>
      <c r="FF9" s="941"/>
      <c r="FG9" s="941"/>
      <c r="FH9" s="941"/>
      <c r="FI9" s="941"/>
      <c r="FJ9" s="941"/>
      <c r="FK9" s="941"/>
      <c r="FL9" s="941"/>
      <c r="FM9" s="941"/>
      <c r="FN9" s="941"/>
      <c r="FO9" s="941"/>
      <c r="FP9" s="941"/>
      <c r="FQ9" s="941"/>
      <c r="FR9" s="941"/>
      <c r="FS9" s="941"/>
      <c r="FT9" s="941"/>
      <c r="FU9" s="941"/>
      <c r="FV9" s="941"/>
      <c r="FW9" s="2367"/>
      <c r="FX9" s="941"/>
    </row>
    <row r="10" spans="2:180" s="1715" customFormat="1" ht="11.25" customHeight="1">
      <c r="B10" s="831"/>
      <c r="F10" s="2341" t="s">
        <v>292</v>
      </c>
      <c r="G10" s="2380"/>
      <c r="H10" s="2380"/>
      <c r="I10" s="2380"/>
      <c r="J10" s="2380"/>
      <c r="K10" s="2380"/>
      <c r="L10" s="2380"/>
      <c r="M10" s="2380"/>
      <c r="N10" s="2380"/>
      <c r="O10" s="2380"/>
      <c r="P10" s="2380"/>
      <c r="Q10" s="2380"/>
      <c r="R10" s="2380"/>
      <c r="S10" s="2380"/>
      <c r="T10" s="2380"/>
      <c r="U10" s="2380"/>
      <c r="V10" s="2380"/>
      <c r="W10" s="2380"/>
      <c r="X10" s="2380"/>
      <c r="Y10" s="2380"/>
      <c r="Z10" s="2380"/>
      <c r="AA10" s="2380"/>
      <c r="AB10" s="2380"/>
      <c r="AC10" s="2380"/>
      <c r="AD10" s="2380"/>
      <c r="AE10" s="2380"/>
      <c r="AF10" s="2380"/>
      <c r="AG10" s="2380"/>
      <c r="AH10" s="2380"/>
      <c r="AI10" s="2380"/>
      <c r="AJ10" s="2380"/>
      <c r="AK10" s="2380"/>
      <c r="AL10" s="2380"/>
      <c r="AM10" s="2380"/>
      <c r="AN10" s="2380"/>
      <c r="AO10" s="2380"/>
      <c r="AP10" s="2380"/>
      <c r="AQ10" s="2380"/>
      <c r="AR10" s="2380"/>
      <c r="AS10" s="2380"/>
      <c r="AT10" s="2380"/>
      <c r="AU10" s="2380"/>
      <c r="AV10" s="2380"/>
      <c r="AW10" s="2380"/>
      <c r="AX10" s="2380"/>
      <c r="AY10" s="2380"/>
      <c r="AZ10" s="2380"/>
      <c r="BA10" s="2380"/>
      <c r="BB10" s="2380"/>
      <c r="BC10" s="2380"/>
      <c r="BD10" s="2380"/>
      <c r="BE10" s="2380"/>
      <c r="BF10" s="2380"/>
      <c r="BG10" s="2380"/>
      <c r="BH10" s="2380"/>
      <c r="BI10" s="2380"/>
      <c r="BJ10" s="2380"/>
      <c r="BK10" s="2380"/>
      <c r="BL10" s="2380"/>
      <c r="BM10" s="2380"/>
      <c r="BN10" s="2380"/>
      <c r="BO10" s="2380"/>
      <c r="BP10" s="2380"/>
      <c r="BQ10" s="2380"/>
      <c r="BR10" s="2380"/>
      <c r="BS10" s="2380"/>
      <c r="BT10" s="2380"/>
      <c r="BU10" s="2380"/>
      <c r="BV10" s="2380"/>
      <c r="BW10" s="2380"/>
      <c r="BX10" s="2380"/>
      <c r="BY10" s="2380"/>
      <c r="BZ10" s="2380"/>
      <c r="CA10" s="2380"/>
      <c r="CB10" s="2380"/>
      <c r="CC10" s="2380"/>
      <c r="CD10" s="2380"/>
      <c r="CE10" s="2380"/>
      <c r="CF10" s="2380"/>
      <c r="CG10" s="2380"/>
      <c r="CH10" s="2380"/>
      <c r="CI10" s="2380"/>
      <c r="CJ10" s="2380"/>
      <c r="CK10" s="2380"/>
      <c r="CL10" s="2380"/>
      <c r="CM10" s="2380"/>
      <c r="CN10" s="2380"/>
      <c r="CO10" s="2380"/>
      <c r="CP10" s="2380"/>
      <c r="CQ10" s="2380"/>
      <c r="CR10" s="2380"/>
      <c r="CS10" s="2380"/>
      <c r="CT10" s="2380"/>
      <c r="CU10" s="2380"/>
      <c r="CV10" s="2380"/>
      <c r="CW10" s="2380"/>
      <c r="CX10" s="2380"/>
      <c r="CY10" s="2380"/>
      <c r="CZ10" s="2380"/>
      <c r="DA10" s="2380"/>
      <c r="DB10" s="2380"/>
      <c r="DC10" s="2380"/>
      <c r="DD10" s="2380"/>
      <c r="DE10" s="2380"/>
      <c r="DF10" s="2380"/>
      <c r="DG10" s="2380"/>
      <c r="DH10" s="2380"/>
      <c r="DI10" s="2380"/>
      <c r="DJ10" s="2380"/>
      <c r="DK10" s="2380"/>
      <c r="DL10" s="2380"/>
      <c r="DM10" s="2380"/>
      <c r="DN10" s="2380"/>
      <c r="DO10" s="2380"/>
      <c r="DP10" s="2380"/>
      <c r="DQ10" s="2380"/>
      <c r="DR10" s="2380"/>
      <c r="DS10" s="2380"/>
      <c r="DT10" s="2380"/>
      <c r="DU10" s="2380"/>
      <c r="DV10" s="2380"/>
      <c r="DW10" s="2380"/>
      <c r="DX10" s="2380"/>
      <c r="DY10" s="2380"/>
      <c r="DZ10" s="2380"/>
      <c r="EA10" s="2380"/>
      <c r="EB10" s="2380"/>
      <c r="EC10" s="2380"/>
      <c r="ED10" s="2380"/>
      <c r="EE10" s="2380"/>
      <c r="EF10" s="2380"/>
      <c r="EG10" s="2380"/>
      <c r="EH10" s="2380"/>
      <c r="EI10" s="2380"/>
      <c r="EJ10" s="2380"/>
      <c r="EK10" s="2380"/>
      <c r="EL10" s="2380"/>
      <c r="EM10" s="2380"/>
      <c r="EN10" s="2380"/>
      <c r="EO10" s="2380"/>
      <c r="EP10" s="2380"/>
      <c r="EQ10" s="2380"/>
      <c r="ER10" s="2380"/>
      <c r="ES10" s="2380"/>
      <c r="ET10" s="2380"/>
      <c r="EU10" s="2380"/>
      <c r="EV10" s="2380"/>
      <c r="EW10" s="2380"/>
      <c r="EX10" s="2380"/>
      <c r="EY10" s="2380"/>
      <c r="EZ10" s="2380"/>
      <c r="FA10" s="2380"/>
      <c r="FB10" s="2380"/>
      <c r="FC10" s="2380"/>
      <c r="FD10" s="2380"/>
      <c r="FE10" s="2380"/>
      <c r="FF10" s="2380"/>
      <c r="FG10" s="2380"/>
      <c r="FH10" s="2380"/>
      <c r="FI10" s="2380"/>
      <c r="FJ10" s="2380"/>
      <c r="FK10" s="2380"/>
      <c r="FL10" s="2380"/>
      <c r="FM10" s="2380"/>
      <c r="FN10" s="2380"/>
      <c r="FO10" s="2380"/>
      <c r="FP10" s="2380"/>
      <c r="FQ10" s="2380"/>
      <c r="FR10" s="2380"/>
      <c r="FS10" s="2380"/>
      <c r="FT10" s="2380"/>
      <c r="FU10" s="2380"/>
      <c r="FV10" s="2146"/>
      <c r="FW10" s="2367"/>
      <c r="FX10" s="941"/>
    </row>
    <row r="11" spans="2:180" ht="12" customHeight="1">
      <c r="E11" s="833"/>
      <c r="F11" s="2267" t="s">
        <v>87</v>
      </c>
      <c r="G11" s="2267" t="s">
        <v>2048</v>
      </c>
      <c r="H11" s="2267" t="s">
        <v>2049</v>
      </c>
      <c r="I11" s="2267" t="s">
        <v>2050</v>
      </c>
      <c r="J11" s="2379"/>
      <c r="K11" s="2379"/>
      <c r="L11" s="2379"/>
      <c r="M11" s="2379"/>
      <c r="N11" s="2379"/>
      <c r="O11" s="2097" t="s">
        <v>2051</v>
      </c>
      <c r="P11" s="2097"/>
      <c r="Q11" s="2097"/>
      <c r="R11" s="2097"/>
      <c r="S11" s="2097"/>
      <c r="T11" s="2097"/>
      <c r="U11" s="2097"/>
      <c r="V11" s="2097"/>
      <c r="W11" s="2097"/>
      <c r="X11" s="2097"/>
      <c r="Y11" s="2097"/>
      <c r="Z11" s="2097"/>
      <c r="AA11" s="2097"/>
      <c r="AB11" s="2097"/>
      <c r="AC11" s="2362"/>
      <c r="AD11" s="2362"/>
      <c r="AE11" s="2362"/>
      <c r="AF11" s="2362"/>
      <c r="AG11" s="2362"/>
      <c r="AH11" s="2362"/>
      <c r="AI11" s="2362"/>
      <c r="AJ11" s="2362"/>
      <c r="AK11" s="2362"/>
      <c r="AL11" s="2362"/>
      <c r="AM11" s="2362"/>
      <c r="AN11" s="2362"/>
      <c r="AO11" s="2362"/>
      <c r="AP11" s="2362"/>
      <c r="AQ11" s="2362"/>
      <c r="AR11" s="2362"/>
      <c r="AS11" s="2362"/>
      <c r="AT11" s="2362"/>
      <c r="AU11" s="2362"/>
      <c r="AV11" s="2362"/>
      <c r="AW11" s="2362"/>
      <c r="AX11" s="2362"/>
      <c r="AY11" s="2362"/>
      <c r="AZ11" s="2362"/>
      <c r="BA11" s="2362"/>
      <c r="BB11" s="2362"/>
      <c r="BC11" s="2362"/>
      <c r="BD11" s="2362"/>
      <c r="BE11" s="2362"/>
      <c r="BF11" s="2362"/>
      <c r="BG11" s="2362"/>
      <c r="BH11" s="2362"/>
      <c r="BI11" s="2362"/>
      <c r="BJ11" s="2362"/>
      <c r="BK11" s="2362"/>
      <c r="BL11" s="2362"/>
      <c r="BM11" s="2362"/>
      <c r="BN11" s="2362"/>
      <c r="BO11" s="2362"/>
      <c r="BP11" s="2362"/>
      <c r="BQ11" s="2362"/>
      <c r="BR11" s="2362"/>
      <c r="BS11" s="2363"/>
      <c r="BT11" s="2302" t="s">
        <v>2051</v>
      </c>
      <c r="BU11" s="2303"/>
      <c r="BV11" s="2303"/>
      <c r="BW11" s="2303"/>
      <c r="BX11" s="2303"/>
      <c r="BY11" s="2303"/>
      <c r="BZ11" s="2303"/>
      <c r="CA11" s="2303"/>
      <c r="CB11" s="2303"/>
      <c r="CC11" s="2303"/>
      <c r="CD11" s="2303"/>
      <c r="CE11" s="2303"/>
      <c r="CF11" s="2303"/>
      <c r="CG11" s="2303"/>
      <c r="CH11" s="2303"/>
      <c r="CI11" s="2303"/>
      <c r="CJ11" s="2303"/>
      <c r="CK11" s="2304"/>
      <c r="CL11" s="2369"/>
      <c r="CM11" s="2362"/>
      <c r="CN11" s="2362"/>
      <c r="CO11" s="2362"/>
      <c r="CP11" s="2362"/>
      <c r="CQ11" s="2362"/>
      <c r="CR11" s="2362"/>
      <c r="CS11" s="2362"/>
      <c r="CT11" s="2362"/>
      <c r="CU11" s="2362"/>
      <c r="CV11" s="2362"/>
      <c r="CW11" s="2362"/>
      <c r="CX11" s="2363"/>
      <c r="CY11" s="2302" t="s">
        <v>2051</v>
      </c>
      <c r="CZ11" s="2303"/>
      <c r="DA11" s="2303"/>
      <c r="DB11" s="2303"/>
      <c r="DC11" s="2303"/>
      <c r="DD11" s="2303"/>
      <c r="DE11" s="2303"/>
      <c r="DF11" s="2303"/>
      <c r="DG11" s="2303"/>
      <c r="DH11" s="2303"/>
      <c r="DI11" s="2303"/>
      <c r="DJ11" s="2304"/>
      <c r="DK11" s="2369"/>
      <c r="DL11" s="2362"/>
      <c r="DM11" s="2362"/>
      <c r="DN11" s="2362"/>
      <c r="DO11" s="2362"/>
      <c r="DP11" s="2362"/>
      <c r="DQ11" s="2362"/>
      <c r="DR11" s="2362"/>
      <c r="DS11" s="2362"/>
      <c r="DT11" s="2362"/>
      <c r="DU11" s="2362"/>
      <c r="DV11" s="2362"/>
      <c r="DW11" s="2362"/>
      <c r="DX11" s="2362"/>
      <c r="DY11" s="2362"/>
      <c r="DZ11" s="2362"/>
      <c r="EA11" s="2362"/>
      <c r="EB11" s="2362"/>
      <c r="EC11" s="2362"/>
      <c r="ED11" s="2362"/>
      <c r="EE11" s="2362"/>
      <c r="EF11" s="2362"/>
      <c r="EG11" s="2362"/>
      <c r="EH11" s="2362"/>
      <c r="EI11" s="2362"/>
      <c r="EJ11" s="2362"/>
      <c r="EK11" s="2362"/>
      <c r="EL11" s="2362"/>
      <c r="EM11" s="2362"/>
      <c r="EN11" s="2362"/>
      <c r="EO11" s="2362"/>
      <c r="EP11" s="2362"/>
      <c r="EQ11" s="2362"/>
      <c r="ER11" s="2362"/>
      <c r="ES11" s="2362"/>
      <c r="ET11" s="2362"/>
      <c r="EU11" s="2362"/>
      <c r="EV11" s="2362"/>
      <c r="EW11" s="2362"/>
      <c r="EX11" s="2362"/>
      <c r="EY11" s="2362"/>
      <c r="EZ11" s="2362"/>
      <c r="FA11" s="2362"/>
      <c r="FB11" s="2362"/>
      <c r="FC11" s="2362"/>
      <c r="FD11" s="2362"/>
      <c r="FE11" s="2362"/>
      <c r="FF11" s="2362"/>
      <c r="FG11" s="2362"/>
      <c r="FH11" s="2362"/>
      <c r="FI11" s="2362"/>
      <c r="FJ11" s="2362"/>
      <c r="FK11" s="2362"/>
      <c r="FL11" s="2362"/>
      <c r="FM11" s="2362"/>
      <c r="FN11" s="2362"/>
      <c r="FO11" s="2362"/>
      <c r="FP11" s="2362"/>
      <c r="FQ11" s="2362"/>
      <c r="FR11" s="2362"/>
      <c r="FS11" s="2362"/>
      <c r="FT11" s="2362"/>
      <c r="FU11" s="2362"/>
      <c r="FV11" s="2362"/>
      <c r="FW11" s="2367"/>
      <c r="FX11" s="672"/>
    </row>
    <row r="12" spans="2:180" ht="12" customHeight="1">
      <c r="D12" s="834"/>
      <c r="E12" s="833"/>
      <c r="F12" s="2267"/>
      <c r="G12" s="2267"/>
      <c r="H12" s="2267"/>
      <c r="I12" s="2267"/>
      <c r="J12" s="2379"/>
      <c r="K12" s="2379"/>
      <c r="L12" s="2379"/>
      <c r="M12" s="2379"/>
      <c r="N12" s="2379"/>
      <c r="O12" s="2097" t="s">
        <v>2052</v>
      </c>
      <c r="P12" s="2097"/>
      <c r="Q12" s="2097"/>
      <c r="R12" s="2097"/>
      <c r="S12" s="2097" t="s">
        <v>2053</v>
      </c>
      <c r="T12" s="2097"/>
      <c r="U12" s="2097"/>
      <c r="V12" s="2097"/>
      <c r="W12" s="2097"/>
      <c r="X12" s="2097"/>
      <c r="Y12" s="2097"/>
      <c r="Z12" s="2097"/>
      <c r="AA12" s="2097"/>
      <c r="AB12" s="2097"/>
      <c r="AC12" s="2362"/>
      <c r="AD12" s="2362"/>
      <c r="AE12" s="2362"/>
      <c r="AF12" s="2362"/>
      <c r="AG12" s="2362"/>
      <c r="AH12" s="2362"/>
      <c r="AI12" s="2362"/>
      <c r="AJ12" s="2362"/>
      <c r="AK12" s="2362"/>
      <c r="AL12" s="2362"/>
      <c r="AM12" s="2362"/>
      <c r="AN12" s="2362"/>
      <c r="AO12" s="2362"/>
      <c r="AP12" s="2362"/>
      <c r="AQ12" s="2362"/>
      <c r="AR12" s="2362"/>
      <c r="AS12" s="2362"/>
      <c r="AT12" s="2362"/>
      <c r="AU12" s="2362"/>
      <c r="AV12" s="2362"/>
      <c r="AW12" s="2362"/>
      <c r="AX12" s="2362"/>
      <c r="AY12" s="2362"/>
      <c r="AZ12" s="2362"/>
      <c r="BA12" s="2362"/>
      <c r="BB12" s="2362"/>
      <c r="BC12" s="2362"/>
      <c r="BD12" s="2362"/>
      <c r="BE12" s="2362"/>
      <c r="BF12" s="2362"/>
      <c r="BG12" s="2362"/>
      <c r="BH12" s="2362"/>
      <c r="BI12" s="2362"/>
      <c r="BJ12" s="2362"/>
      <c r="BK12" s="2362"/>
      <c r="BL12" s="2362"/>
      <c r="BM12" s="2362"/>
      <c r="BN12" s="2362"/>
      <c r="BO12" s="2362"/>
      <c r="BP12" s="2362"/>
      <c r="BQ12" s="2362"/>
      <c r="BR12" s="2362"/>
      <c r="BS12" s="2363"/>
      <c r="BT12" s="2302" t="s">
        <v>2054</v>
      </c>
      <c r="BU12" s="2303"/>
      <c r="BV12" s="2303"/>
      <c r="BW12" s="2304"/>
      <c r="BX12" s="2302" t="s">
        <v>2055</v>
      </c>
      <c r="BY12" s="2303"/>
      <c r="BZ12" s="2303"/>
      <c r="CA12" s="2304"/>
      <c r="CB12" s="2302" t="s">
        <v>2056</v>
      </c>
      <c r="CC12" s="2304"/>
      <c r="CD12" s="2302" t="s">
        <v>2057</v>
      </c>
      <c r="CE12" s="2303"/>
      <c r="CF12" s="2303"/>
      <c r="CG12" s="2303"/>
      <c r="CH12" s="2303"/>
      <c r="CI12" s="2303"/>
      <c r="CJ12" s="2303"/>
      <c r="CK12" s="2304"/>
      <c r="CL12" s="2369"/>
      <c r="CM12" s="2362"/>
      <c r="CN12" s="2362"/>
      <c r="CO12" s="2362"/>
      <c r="CP12" s="2362"/>
      <c r="CQ12" s="2362"/>
      <c r="CR12" s="2362"/>
      <c r="CS12" s="2362"/>
      <c r="CT12" s="2362"/>
      <c r="CU12" s="2362"/>
      <c r="CV12" s="2362"/>
      <c r="CW12" s="2362"/>
      <c r="CX12" s="2363"/>
      <c r="CY12" s="2302" t="s">
        <v>2058</v>
      </c>
      <c r="CZ12" s="2303"/>
      <c r="DA12" s="2303"/>
      <c r="DB12" s="2303"/>
      <c r="DC12" s="2303"/>
      <c r="DD12" s="2304"/>
      <c r="DE12" s="2302" t="s">
        <v>2059</v>
      </c>
      <c r="DF12" s="2304"/>
      <c r="DG12" s="2302" t="s">
        <v>2057</v>
      </c>
      <c r="DH12" s="2303"/>
      <c r="DI12" s="2303"/>
      <c r="DJ12" s="2304"/>
      <c r="DK12" s="2369"/>
      <c r="DL12" s="2362"/>
      <c r="DM12" s="2362"/>
      <c r="DN12" s="2362"/>
      <c r="DO12" s="2362"/>
      <c r="DP12" s="2362"/>
      <c r="DQ12" s="2362"/>
      <c r="DR12" s="2362"/>
      <c r="DS12" s="2362"/>
      <c r="DT12" s="2362"/>
      <c r="DU12" s="2362"/>
      <c r="DV12" s="2362"/>
      <c r="DW12" s="2362"/>
      <c r="DX12" s="2362"/>
      <c r="DY12" s="2362"/>
      <c r="DZ12" s="2362"/>
      <c r="EA12" s="2362"/>
      <c r="EB12" s="2362"/>
      <c r="EC12" s="2362"/>
      <c r="ED12" s="2362"/>
      <c r="EE12" s="2362"/>
      <c r="EF12" s="2362"/>
      <c r="EG12" s="2362"/>
      <c r="EH12" s="2362"/>
      <c r="EI12" s="2362"/>
      <c r="EJ12" s="2362"/>
      <c r="EK12" s="2362"/>
      <c r="EL12" s="2362"/>
      <c r="EM12" s="2362"/>
      <c r="EN12" s="2362"/>
      <c r="EO12" s="2362"/>
      <c r="EP12" s="2362"/>
      <c r="EQ12" s="2362"/>
      <c r="ER12" s="2362"/>
      <c r="ES12" s="2362"/>
      <c r="ET12" s="2362"/>
      <c r="EU12" s="2362"/>
      <c r="EV12" s="2362"/>
      <c r="EW12" s="2362"/>
      <c r="EX12" s="2362"/>
      <c r="EY12" s="2362"/>
      <c r="EZ12" s="2362"/>
      <c r="FA12" s="2362"/>
      <c r="FB12" s="2362"/>
      <c r="FC12" s="2362"/>
      <c r="FD12" s="2362"/>
      <c r="FE12" s="2362"/>
      <c r="FF12" s="2362"/>
      <c r="FG12" s="2362"/>
      <c r="FH12" s="2362"/>
      <c r="FI12" s="2362"/>
      <c r="FJ12" s="2362"/>
      <c r="FK12" s="2362"/>
      <c r="FL12" s="2362"/>
      <c r="FM12" s="2362"/>
      <c r="FN12" s="2362"/>
      <c r="FO12" s="2362"/>
      <c r="FP12" s="2362"/>
      <c r="FQ12" s="2362"/>
      <c r="FR12" s="2362"/>
      <c r="FS12" s="2362"/>
      <c r="FT12" s="2362"/>
      <c r="FU12" s="2362"/>
      <c r="FV12" s="2362"/>
      <c r="FW12" s="2367"/>
      <c r="FX12" s="672"/>
    </row>
    <row r="13" spans="2:180" ht="36" customHeight="1">
      <c r="D13" s="834"/>
      <c r="E13" s="833"/>
      <c r="F13" s="2267"/>
      <c r="G13" s="2267"/>
      <c r="H13" s="2267"/>
      <c r="I13" s="2267"/>
      <c r="J13" s="2379"/>
      <c r="K13" s="2379"/>
      <c r="L13" s="2379"/>
      <c r="M13" s="2379"/>
      <c r="N13" s="2379"/>
      <c r="O13" s="2097" t="s">
        <v>2060</v>
      </c>
      <c r="P13" s="2097"/>
      <c r="Q13" s="2097"/>
      <c r="R13" s="2097"/>
      <c r="S13" s="2345" t="s">
        <v>2061</v>
      </c>
      <c r="T13" s="2346"/>
      <c r="U13" s="2007" t="s">
        <v>2062</v>
      </c>
      <c r="V13" s="2007"/>
      <c r="W13" s="2007"/>
      <c r="X13" s="2007"/>
      <c r="Y13" s="2007" t="s">
        <v>2063</v>
      </c>
      <c r="Z13" s="2007"/>
      <c r="AA13" s="2007"/>
      <c r="AB13" s="2007"/>
      <c r="AC13" s="2362"/>
      <c r="AD13" s="2362"/>
      <c r="AE13" s="2362"/>
      <c r="AF13" s="2362"/>
      <c r="AG13" s="2362"/>
      <c r="AH13" s="2362"/>
      <c r="AI13" s="2362"/>
      <c r="AJ13" s="2362"/>
      <c r="AK13" s="2362"/>
      <c r="AL13" s="2362"/>
      <c r="AM13" s="2362"/>
      <c r="AN13" s="2362"/>
      <c r="AO13" s="2362"/>
      <c r="AP13" s="2362"/>
      <c r="AQ13" s="2362"/>
      <c r="AR13" s="2362"/>
      <c r="AS13" s="2362"/>
      <c r="AT13" s="2362"/>
      <c r="AU13" s="2362"/>
      <c r="AV13" s="2362"/>
      <c r="AW13" s="2362"/>
      <c r="AX13" s="2362"/>
      <c r="AY13" s="2362"/>
      <c r="AZ13" s="2362"/>
      <c r="BA13" s="2362"/>
      <c r="BB13" s="2362"/>
      <c r="BC13" s="2362"/>
      <c r="BD13" s="2362"/>
      <c r="BE13" s="2362"/>
      <c r="BF13" s="2362"/>
      <c r="BG13" s="2362"/>
      <c r="BH13" s="2362"/>
      <c r="BI13" s="2362"/>
      <c r="BJ13" s="2362"/>
      <c r="BK13" s="2362"/>
      <c r="BL13" s="2362"/>
      <c r="BM13" s="2362"/>
      <c r="BN13" s="2362"/>
      <c r="BO13" s="2362"/>
      <c r="BP13" s="2362"/>
      <c r="BQ13" s="2362"/>
      <c r="BR13" s="2362"/>
      <c r="BS13" s="2363"/>
      <c r="BT13" s="2345" t="s">
        <v>2064</v>
      </c>
      <c r="BU13" s="2346"/>
      <c r="BV13" s="2345" t="s">
        <v>2065</v>
      </c>
      <c r="BW13" s="2346"/>
      <c r="BX13" s="2345" t="s">
        <v>2066</v>
      </c>
      <c r="BY13" s="2346"/>
      <c r="BZ13" s="2345" t="s">
        <v>2067</v>
      </c>
      <c r="CA13" s="2346"/>
      <c r="CB13" s="2345" t="s">
        <v>2068</v>
      </c>
      <c r="CC13" s="2346"/>
      <c r="CD13" s="2345" t="s">
        <v>2069</v>
      </c>
      <c r="CE13" s="2346"/>
      <c r="CF13" s="2345" t="s">
        <v>2070</v>
      </c>
      <c r="CG13" s="2346"/>
      <c r="CH13" s="2302" t="s">
        <v>2071</v>
      </c>
      <c r="CI13" s="2303"/>
      <c r="CJ13" s="2303"/>
      <c r="CK13" s="2304"/>
      <c r="CL13" s="2369"/>
      <c r="CM13" s="2362"/>
      <c r="CN13" s="2362"/>
      <c r="CO13" s="2362"/>
      <c r="CP13" s="2362"/>
      <c r="CQ13" s="2362"/>
      <c r="CR13" s="2362"/>
      <c r="CS13" s="2362"/>
      <c r="CT13" s="2362"/>
      <c r="CU13" s="2362"/>
      <c r="CV13" s="2362"/>
      <c r="CW13" s="2362"/>
      <c r="CX13" s="2363"/>
      <c r="CY13" s="2345" t="s">
        <v>2072</v>
      </c>
      <c r="CZ13" s="2346"/>
      <c r="DA13" s="2345" t="s">
        <v>2073</v>
      </c>
      <c r="DB13" s="2346"/>
      <c r="DC13" s="2345" t="s">
        <v>2074</v>
      </c>
      <c r="DD13" s="2346"/>
      <c r="DE13" s="2345" t="s">
        <v>2075</v>
      </c>
      <c r="DF13" s="2346"/>
      <c r="DG13" s="2302" t="s">
        <v>2076</v>
      </c>
      <c r="DH13" s="2303"/>
      <c r="DI13" s="2303"/>
      <c r="DJ13" s="2304"/>
      <c r="DK13" s="2369"/>
      <c r="DL13" s="2362"/>
      <c r="DM13" s="2362"/>
      <c r="DN13" s="2362"/>
      <c r="DO13" s="2362"/>
      <c r="DP13" s="2362"/>
      <c r="DQ13" s="2362"/>
      <c r="DR13" s="2362"/>
      <c r="DS13" s="2362"/>
      <c r="DT13" s="2362"/>
      <c r="DU13" s="2362"/>
      <c r="DV13" s="2362"/>
      <c r="DW13" s="2362"/>
      <c r="DX13" s="2362"/>
      <c r="DY13" s="2362"/>
      <c r="DZ13" s="2362"/>
      <c r="EA13" s="2362"/>
      <c r="EB13" s="2362"/>
      <c r="EC13" s="2362"/>
      <c r="ED13" s="2362"/>
      <c r="EE13" s="2362"/>
      <c r="EF13" s="2362"/>
      <c r="EG13" s="2362"/>
      <c r="EH13" s="2362"/>
      <c r="EI13" s="2362"/>
      <c r="EJ13" s="2362"/>
      <c r="EK13" s="2362"/>
      <c r="EL13" s="2362"/>
      <c r="EM13" s="2362"/>
      <c r="EN13" s="2362"/>
      <c r="EO13" s="2362"/>
      <c r="EP13" s="2362"/>
      <c r="EQ13" s="2362"/>
      <c r="ER13" s="2362"/>
      <c r="ES13" s="2362"/>
      <c r="ET13" s="2362"/>
      <c r="EU13" s="2362"/>
      <c r="EV13" s="2362"/>
      <c r="EW13" s="2362"/>
      <c r="EX13" s="2362"/>
      <c r="EY13" s="2362"/>
      <c r="EZ13" s="2362"/>
      <c r="FA13" s="2362"/>
      <c r="FB13" s="2362"/>
      <c r="FC13" s="2362"/>
      <c r="FD13" s="2362"/>
      <c r="FE13" s="2362"/>
      <c r="FF13" s="2362"/>
      <c r="FG13" s="2362"/>
      <c r="FH13" s="2362"/>
      <c r="FI13" s="2362"/>
      <c r="FJ13" s="2362"/>
      <c r="FK13" s="2362"/>
      <c r="FL13" s="2362"/>
      <c r="FM13" s="2362"/>
      <c r="FN13" s="2362"/>
      <c r="FO13" s="2362"/>
      <c r="FP13" s="2362"/>
      <c r="FQ13" s="2362"/>
      <c r="FR13" s="2362"/>
      <c r="FS13" s="2362"/>
      <c r="FT13" s="2362"/>
      <c r="FU13" s="2362"/>
      <c r="FV13" s="2362"/>
      <c r="FW13" s="2367"/>
      <c r="FX13" s="672"/>
    </row>
    <row r="14" spans="2:180" ht="36" customHeight="1">
      <c r="D14" s="834"/>
      <c r="E14" s="833"/>
      <c r="F14" s="2267"/>
      <c r="G14" s="2267"/>
      <c r="H14" s="2267"/>
      <c r="I14" s="2267"/>
      <c r="J14" s="2379"/>
      <c r="K14" s="2379"/>
      <c r="L14" s="2379"/>
      <c r="M14" s="2379"/>
      <c r="N14" s="2379"/>
      <c r="O14" s="2345" t="s">
        <v>2077</v>
      </c>
      <c r="P14" s="2346"/>
      <c r="Q14" s="2345" t="s">
        <v>2078</v>
      </c>
      <c r="R14" s="2346"/>
      <c r="S14" s="2347"/>
      <c r="T14" s="2098"/>
      <c r="U14" s="2345" t="s">
        <v>1866</v>
      </c>
      <c r="V14" s="2346"/>
      <c r="W14" s="2345" t="s">
        <v>1869</v>
      </c>
      <c r="X14" s="2346"/>
      <c r="Y14" s="2345" t="s">
        <v>1866</v>
      </c>
      <c r="Z14" s="2346"/>
      <c r="AA14" s="2345" t="s">
        <v>1876</v>
      </c>
      <c r="AB14" s="2346"/>
      <c r="AC14" s="2362"/>
      <c r="AD14" s="2362"/>
      <c r="AE14" s="2362"/>
      <c r="AF14" s="2362"/>
      <c r="AG14" s="2362"/>
      <c r="AH14" s="2362"/>
      <c r="AI14" s="2362"/>
      <c r="AJ14" s="2362"/>
      <c r="AK14" s="2362"/>
      <c r="AL14" s="2362"/>
      <c r="AM14" s="2362"/>
      <c r="AN14" s="2362"/>
      <c r="AO14" s="2362"/>
      <c r="AP14" s="2362"/>
      <c r="AQ14" s="2362"/>
      <c r="AR14" s="2362"/>
      <c r="AS14" s="2362"/>
      <c r="AT14" s="2362"/>
      <c r="AU14" s="2362"/>
      <c r="AV14" s="2362"/>
      <c r="AW14" s="2362"/>
      <c r="AX14" s="2362"/>
      <c r="AY14" s="2362"/>
      <c r="AZ14" s="2362"/>
      <c r="BA14" s="2362"/>
      <c r="BB14" s="2362"/>
      <c r="BC14" s="2362"/>
      <c r="BD14" s="2362"/>
      <c r="BE14" s="2362"/>
      <c r="BF14" s="2362"/>
      <c r="BG14" s="2362"/>
      <c r="BH14" s="2362"/>
      <c r="BI14" s="2362"/>
      <c r="BJ14" s="2362"/>
      <c r="BK14" s="2362"/>
      <c r="BL14" s="2362"/>
      <c r="BM14" s="2362"/>
      <c r="BN14" s="2362"/>
      <c r="BO14" s="2362"/>
      <c r="BP14" s="2362"/>
      <c r="BQ14" s="2362"/>
      <c r="BR14" s="2362"/>
      <c r="BS14" s="2363"/>
      <c r="BT14" s="2347"/>
      <c r="BU14" s="2098"/>
      <c r="BV14" s="2347"/>
      <c r="BW14" s="2098"/>
      <c r="BX14" s="2347"/>
      <c r="BY14" s="2098"/>
      <c r="BZ14" s="2347"/>
      <c r="CA14" s="2098"/>
      <c r="CB14" s="2347"/>
      <c r="CC14" s="2098"/>
      <c r="CD14" s="2347"/>
      <c r="CE14" s="2098"/>
      <c r="CF14" s="2347"/>
      <c r="CG14" s="2098"/>
      <c r="CH14" s="2345" t="s">
        <v>2079</v>
      </c>
      <c r="CI14" s="2346"/>
      <c r="CJ14" s="2345" t="s">
        <v>2080</v>
      </c>
      <c r="CK14" s="2346"/>
      <c r="CL14" s="2369"/>
      <c r="CM14" s="2362"/>
      <c r="CN14" s="2362"/>
      <c r="CO14" s="2362"/>
      <c r="CP14" s="2362"/>
      <c r="CQ14" s="2362"/>
      <c r="CR14" s="2362"/>
      <c r="CS14" s="2362"/>
      <c r="CT14" s="2362"/>
      <c r="CU14" s="2362"/>
      <c r="CV14" s="2362"/>
      <c r="CW14" s="2362"/>
      <c r="CX14" s="2363"/>
      <c r="CY14" s="2347"/>
      <c r="CZ14" s="2098"/>
      <c r="DA14" s="2347"/>
      <c r="DB14" s="2098"/>
      <c r="DC14" s="2347"/>
      <c r="DD14" s="2098"/>
      <c r="DE14" s="2347"/>
      <c r="DF14" s="2098"/>
      <c r="DG14" s="2345" t="s">
        <v>2081</v>
      </c>
      <c r="DH14" s="2346"/>
      <c r="DI14" s="2345" t="s">
        <v>2082</v>
      </c>
      <c r="DJ14" s="2346"/>
      <c r="DK14" s="2369"/>
      <c r="DL14" s="2362"/>
      <c r="DM14" s="2362"/>
      <c r="DN14" s="2362"/>
      <c r="DO14" s="2362"/>
      <c r="DP14" s="2362"/>
      <c r="DQ14" s="2362"/>
      <c r="DR14" s="2362"/>
      <c r="DS14" s="2362"/>
      <c r="DT14" s="2362"/>
      <c r="DU14" s="2362"/>
      <c r="DV14" s="2362"/>
      <c r="DW14" s="2362"/>
      <c r="DX14" s="2362"/>
      <c r="DY14" s="2362"/>
      <c r="DZ14" s="2362"/>
      <c r="EA14" s="2362"/>
      <c r="EB14" s="2362"/>
      <c r="EC14" s="2362"/>
      <c r="ED14" s="2362"/>
      <c r="EE14" s="2362"/>
      <c r="EF14" s="2362"/>
      <c r="EG14" s="2362"/>
      <c r="EH14" s="2362"/>
      <c r="EI14" s="2362"/>
      <c r="EJ14" s="2362"/>
      <c r="EK14" s="2362"/>
      <c r="EL14" s="2362"/>
      <c r="EM14" s="2362"/>
      <c r="EN14" s="2362"/>
      <c r="EO14" s="2362"/>
      <c r="EP14" s="2362"/>
      <c r="EQ14" s="2362"/>
      <c r="ER14" s="2362"/>
      <c r="ES14" s="2362"/>
      <c r="ET14" s="2362"/>
      <c r="EU14" s="2362"/>
      <c r="EV14" s="2362"/>
      <c r="EW14" s="2362"/>
      <c r="EX14" s="2362"/>
      <c r="EY14" s="2362"/>
      <c r="EZ14" s="2362"/>
      <c r="FA14" s="2362"/>
      <c r="FB14" s="2362"/>
      <c r="FC14" s="2362"/>
      <c r="FD14" s="2362"/>
      <c r="FE14" s="2362"/>
      <c r="FF14" s="2362"/>
      <c r="FG14" s="2362"/>
      <c r="FH14" s="2362"/>
      <c r="FI14" s="2362"/>
      <c r="FJ14" s="2362"/>
      <c r="FK14" s="2362"/>
      <c r="FL14" s="2362"/>
      <c r="FM14" s="2362"/>
      <c r="FN14" s="2362"/>
      <c r="FO14" s="2362"/>
      <c r="FP14" s="2362"/>
      <c r="FQ14" s="2362"/>
      <c r="FR14" s="2362"/>
      <c r="FS14" s="2362"/>
      <c r="FT14" s="2362"/>
      <c r="FU14" s="2362"/>
      <c r="FV14" s="2362"/>
      <c r="FW14" s="2367"/>
      <c r="FX14" s="672"/>
    </row>
    <row r="15" spans="2:180" ht="36" customHeight="1">
      <c r="D15" s="834"/>
      <c r="E15" s="833"/>
      <c r="F15" s="2267"/>
      <c r="G15" s="2267"/>
      <c r="H15" s="2267"/>
      <c r="I15" s="2267"/>
      <c r="J15" s="2379"/>
      <c r="K15" s="2379"/>
      <c r="L15" s="2379"/>
      <c r="M15" s="2379"/>
      <c r="N15" s="2379"/>
      <c r="O15" s="2348"/>
      <c r="P15" s="2349"/>
      <c r="Q15" s="2348"/>
      <c r="R15" s="2349"/>
      <c r="S15" s="2348"/>
      <c r="T15" s="2349"/>
      <c r="U15" s="2348"/>
      <c r="V15" s="2349"/>
      <c r="W15" s="2348"/>
      <c r="X15" s="2349"/>
      <c r="Y15" s="2348"/>
      <c r="Z15" s="2349"/>
      <c r="AA15" s="2348"/>
      <c r="AB15" s="2349"/>
      <c r="AC15" s="2362"/>
      <c r="AD15" s="2362"/>
      <c r="AE15" s="2362"/>
      <c r="AF15" s="2362"/>
      <c r="AG15" s="2362"/>
      <c r="AH15" s="2362"/>
      <c r="AI15" s="2362"/>
      <c r="AJ15" s="2362"/>
      <c r="AK15" s="2362"/>
      <c r="AL15" s="2362"/>
      <c r="AM15" s="2362"/>
      <c r="AN15" s="2362"/>
      <c r="AO15" s="2362"/>
      <c r="AP15" s="2362"/>
      <c r="AQ15" s="2362"/>
      <c r="AR15" s="2362"/>
      <c r="AS15" s="2362"/>
      <c r="AT15" s="2362"/>
      <c r="AU15" s="2362"/>
      <c r="AV15" s="2362"/>
      <c r="AW15" s="2362"/>
      <c r="AX15" s="2362"/>
      <c r="AY15" s="2362"/>
      <c r="AZ15" s="2362"/>
      <c r="BA15" s="2362"/>
      <c r="BB15" s="2362"/>
      <c r="BC15" s="2362"/>
      <c r="BD15" s="2362"/>
      <c r="BE15" s="2362"/>
      <c r="BF15" s="2362"/>
      <c r="BG15" s="2362"/>
      <c r="BH15" s="2362"/>
      <c r="BI15" s="2362"/>
      <c r="BJ15" s="2362"/>
      <c r="BK15" s="2362"/>
      <c r="BL15" s="2362"/>
      <c r="BM15" s="2362"/>
      <c r="BN15" s="2362"/>
      <c r="BO15" s="2362"/>
      <c r="BP15" s="2362"/>
      <c r="BQ15" s="2362"/>
      <c r="BR15" s="2362"/>
      <c r="BS15" s="2363"/>
      <c r="BT15" s="2348"/>
      <c r="BU15" s="2349"/>
      <c r="BV15" s="2348"/>
      <c r="BW15" s="2349"/>
      <c r="BX15" s="2348"/>
      <c r="BY15" s="2349"/>
      <c r="BZ15" s="2348"/>
      <c r="CA15" s="2349"/>
      <c r="CB15" s="2348"/>
      <c r="CC15" s="2349"/>
      <c r="CD15" s="2348"/>
      <c r="CE15" s="2349"/>
      <c r="CF15" s="2348"/>
      <c r="CG15" s="2349"/>
      <c r="CH15" s="2348"/>
      <c r="CI15" s="2349"/>
      <c r="CJ15" s="2348"/>
      <c r="CK15" s="2349"/>
      <c r="CL15" s="2369"/>
      <c r="CM15" s="2362"/>
      <c r="CN15" s="2362"/>
      <c r="CO15" s="2362"/>
      <c r="CP15" s="2362"/>
      <c r="CQ15" s="2362"/>
      <c r="CR15" s="2362"/>
      <c r="CS15" s="2362"/>
      <c r="CT15" s="2362"/>
      <c r="CU15" s="2362"/>
      <c r="CV15" s="2362"/>
      <c r="CW15" s="2362"/>
      <c r="CX15" s="2363"/>
      <c r="CY15" s="2348"/>
      <c r="CZ15" s="2349"/>
      <c r="DA15" s="2348"/>
      <c r="DB15" s="2349"/>
      <c r="DC15" s="2348"/>
      <c r="DD15" s="2349"/>
      <c r="DE15" s="2348"/>
      <c r="DF15" s="2349"/>
      <c r="DG15" s="2348"/>
      <c r="DH15" s="2349"/>
      <c r="DI15" s="2348"/>
      <c r="DJ15" s="2349"/>
      <c r="DK15" s="2369"/>
      <c r="DL15" s="2362"/>
      <c r="DM15" s="2362"/>
      <c r="DN15" s="2362"/>
      <c r="DO15" s="2362"/>
      <c r="DP15" s="2362"/>
      <c r="DQ15" s="2362"/>
      <c r="DR15" s="2362"/>
      <c r="DS15" s="2362"/>
      <c r="DT15" s="2362"/>
      <c r="DU15" s="2362"/>
      <c r="DV15" s="2362"/>
      <c r="DW15" s="2362"/>
      <c r="DX15" s="2362"/>
      <c r="DY15" s="2362"/>
      <c r="DZ15" s="2362"/>
      <c r="EA15" s="2362"/>
      <c r="EB15" s="2362"/>
      <c r="EC15" s="2362"/>
      <c r="ED15" s="2362"/>
      <c r="EE15" s="2362"/>
      <c r="EF15" s="2362"/>
      <c r="EG15" s="2362"/>
      <c r="EH15" s="2362"/>
      <c r="EI15" s="2362"/>
      <c r="EJ15" s="2362"/>
      <c r="EK15" s="2362"/>
      <c r="EL15" s="2362"/>
      <c r="EM15" s="2362"/>
      <c r="EN15" s="2362"/>
      <c r="EO15" s="2362"/>
      <c r="EP15" s="2362"/>
      <c r="EQ15" s="2362"/>
      <c r="ER15" s="2362"/>
      <c r="ES15" s="2362"/>
      <c r="ET15" s="2362"/>
      <c r="EU15" s="2362"/>
      <c r="EV15" s="2362"/>
      <c r="EW15" s="2362"/>
      <c r="EX15" s="2362"/>
      <c r="EY15" s="2362"/>
      <c r="EZ15" s="2362"/>
      <c r="FA15" s="2362"/>
      <c r="FB15" s="2362"/>
      <c r="FC15" s="2362"/>
      <c r="FD15" s="2362"/>
      <c r="FE15" s="2362"/>
      <c r="FF15" s="2362"/>
      <c r="FG15" s="2362"/>
      <c r="FH15" s="2362"/>
      <c r="FI15" s="2362"/>
      <c r="FJ15" s="2362"/>
      <c r="FK15" s="2362"/>
      <c r="FL15" s="2362"/>
      <c r="FM15" s="2362"/>
      <c r="FN15" s="2362"/>
      <c r="FO15" s="2362"/>
      <c r="FP15" s="2362"/>
      <c r="FQ15" s="2362"/>
      <c r="FR15" s="2362"/>
      <c r="FS15" s="2362"/>
      <c r="FT15" s="2362"/>
      <c r="FU15" s="2362"/>
      <c r="FV15" s="2362"/>
      <c r="FW15" s="2367"/>
      <c r="FX15" s="672"/>
    </row>
    <row r="16" spans="2:180" ht="12" customHeight="1">
      <c r="D16" s="834"/>
      <c r="E16" s="833"/>
      <c r="F16" s="2267"/>
      <c r="G16" s="2267"/>
      <c r="H16" s="2267"/>
      <c r="I16" s="2267"/>
      <c r="J16" s="2379"/>
      <c r="K16" s="2379"/>
      <c r="L16" s="2379"/>
      <c r="M16" s="2379"/>
      <c r="N16" s="2379"/>
      <c r="O16" s="2302" t="s">
        <v>1856</v>
      </c>
      <c r="P16" s="2304"/>
      <c r="Q16" s="2302" t="s">
        <v>1858</v>
      </c>
      <c r="R16" s="2304"/>
      <c r="S16" s="2302" t="s">
        <v>1862</v>
      </c>
      <c r="T16" s="2304"/>
      <c r="U16" s="2302" t="s">
        <v>1867</v>
      </c>
      <c r="V16" s="2304"/>
      <c r="W16" s="2302" t="s">
        <v>1870</v>
      </c>
      <c r="X16" s="2304"/>
      <c r="Y16" s="2302" t="s">
        <v>1874</v>
      </c>
      <c r="Z16" s="2304"/>
      <c r="AA16" s="2302" t="s">
        <v>1877</v>
      </c>
      <c r="AB16" s="2304"/>
      <c r="AC16" s="2362"/>
      <c r="AD16" s="2362"/>
      <c r="AE16" s="2362"/>
      <c r="AF16" s="2362"/>
      <c r="AG16" s="2362"/>
      <c r="AH16" s="2362"/>
      <c r="AI16" s="2362"/>
      <c r="AJ16" s="2362"/>
      <c r="AK16" s="2362"/>
      <c r="AL16" s="2362"/>
      <c r="AM16" s="2362"/>
      <c r="AN16" s="2362"/>
      <c r="AO16" s="2362"/>
      <c r="AP16" s="2362"/>
      <c r="AQ16" s="2362"/>
      <c r="AR16" s="2362"/>
      <c r="AS16" s="2362"/>
      <c r="AT16" s="2362"/>
      <c r="AU16" s="2362"/>
      <c r="AV16" s="2362"/>
      <c r="AW16" s="2362"/>
      <c r="AX16" s="2362"/>
      <c r="AY16" s="2362"/>
      <c r="AZ16" s="2362"/>
      <c r="BA16" s="2362"/>
      <c r="BB16" s="2362"/>
      <c r="BC16" s="2362"/>
      <c r="BD16" s="2362"/>
      <c r="BE16" s="2362"/>
      <c r="BF16" s="2362"/>
      <c r="BG16" s="2362"/>
      <c r="BH16" s="2362"/>
      <c r="BI16" s="2362"/>
      <c r="BJ16" s="2362"/>
      <c r="BK16" s="2362"/>
      <c r="BL16" s="2362"/>
      <c r="BM16" s="2362"/>
      <c r="BN16" s="2362"/>
      <c r="BO16" s="2362"/>
      <c r="BP16" s="2362"/>
      <c r="BQ16" s="2362"/>
      <c r="BR16" s="2362"/>
      <c r="BS16" s="2363"/>
      <c r="BT16" s="2302" t="s">
        <v>1620</v>
      </c>
      <c r="BU16" s="2304"/>
      <c r="BV16" s="2302" t="s">
        <v>1620</v>
      </c>
      <c r="BW16" s="2304"/>
      <c r="BX16" s="2302" t="s">
        <v>1620</v>
      </c>
      <c r="BY16" s="2304"/>
      <c r="BZ16" s="2302" t="s">
        <v>1620</v>
      </c>
      <c r="CA16" s="2304"/>
      <c r="CB16" s="2302" t="s">
        <v>2083</v>
      </c>
      <c r="CC16" s="2304"/>
      <c r="CD16" s="2302" t="s">
        <v>1620</v>
      </c>
      <c r="CE16" s="2304"/>
      <c r="CF16" s="2302" t="s">
        <v>2084</v>
      </c>
      <c r="CG16" s="2304"/>
      <c r="CH16" s="2302" t="s">
        <v>2085</v>
      </c>
      <c r="CI16" s="2304"/>
      <c r="CJ16" s="2302" t="s">
        <v>2085</v>
      </c>
      <c r="CK16" s="2304"/>
      <c r="CL16" s="2369"/>
      <c r="CM16" s="2362"/>
      <c r="CN16" s="2362"/>
      <c r="CO16" s="2362"/>
      <c r="CP16" s="2362"/>
      <c r="CQ16" s="2362"/>
      <c r="CR16" s="2362"/>
      <c r="CS16" s="2362"/>
      <c r="CT16" s="2362"/>
      <c r="CU16" s="2362"/>
      <c r="CV16" s="2362"/>
      <c r="CW16" s="2362"/>
      <c r="CX16" s="2363"/>
      <c r="CY16" s="2345" t="s">
        <v>1620</v>
      </c>
      <c r="CZ16" s="2346"/>
      <c r="DA16" s="2345" t="s">
        <v>1620</v>
      </c>
      <c r="DB16" s="2346"/>
      <c r="DC16" s="2345" t="s">
        <v>1620</v>
      </c>
      <c r="DD16" s="2346"/>
      <c r="DE16" s="2302" t="s">
        <v>2083</v>
      </c>
      <c r="DF16" s="2304"/>
      <c r="DG16" s="2302" t="s">
        <v>2086</v>
      </c>
      <c r="DH16" s="2304"/>
      <c r="DI16" s="2302" t="s">
        <v>2086</v>
      </c>
      <c r="DJ16" s="2304"/>
      <c r="DK16" s="2369"/>
      <c r="DL16" s="2362"/>
      <c r="DM16" s="2362"/>
      <c r="DN16" s="2362"/>
      <c r="DO16" s="2362"/>
      <c r="DP16" s="2362"/>
      <c r="DQ16" s="2362"/>
      <c r="DR16" s="2362"/>
      <c r="DS16" s="2362"/>
      <c r="DT16" s="2362"/>
      <c r="DU16" s="2362"/>
      <c r="DV16" s="2362"/>
      <c r="DW16" s="2362"/>
      <c r="DX16" s="2362"/>
      <c r="DY16" s="2362"/>
      <c r="DZ16" s="2362"/>
      <c r="EA16" s="2362"/>
      <c r="EB16" s="2362"/>
      <c r="EC16" s="2362"/>
      <c r="ED16" s="2362"/>
      <c r="EE16" s="2362"/>
      <c r="EF16" s="2362"/>
      <c r="EG16" s="2362"/>
      <c r="EH16" s="2362"/>
      <c r="EI16" s="2362"/>
      <c r="EJ16" s="2362"/>
      <c r="EK16" s="2362"/>
      <c r="EL16" s="2362"/>
      <c r="EM16" s="2362"/>
      <c r="EN16" s="2362"/>
      <c r="EO16" s="2362"/>
      <c r="EP16" s="2362"/>
      <c r="EQ16" s="2362"/>
      <c r="ER16" s="2362"/>
      <c r="ES16" s="2362"/>
      <c r="ET16" s="2362"/>
      <c r="EU16" s="2362"/>
      <c r="EV16" s="2362"/>
      <c r="EW16" s="2362"/>
      <c r="EX16" s="2362"/>
      <c r="EY16" s="2362"/>
      <c r="EZ16" s="2362"/>
      <c r="FA16" s="2362"/>
      <c r="FB16" s="2362"/>
      <c r="FC16" s="2362"/>
      <c r="FD16" s="2362"/>
      <c r="FE16" s="2362"/>
      <c r="FF16" s="2362"/>
      <c r="FG16" s="2362"/>
      <c r="FH16" s="2362"/>
      <c r="FI16" s="2362"/>
      <c r="FJ16" s="2362"/>
      <c r="FK16" s="2362"/>
      <c r="FL16" s="2362"/>
      <c r="FM16" s="2362"/>
      <c r="FN16" s="2362"/>
      <c r="FO16" s="2362"/>
      <c r="FP16" s="2362"/>
      <c r="FQ16" s="2362"/>
      <c r="FR16" s="2362"/>
      <c r="FS16" s="2362"/>
      <c r="FT16" s="2362"/>
      <c r="FU16" s="2362"/>
      <c r="FV16" s="2362"/>
      <c r="FW16" s="2367"/>
      <c r="FX16" s="672"/>
    </row>
    <row r="17" spans="1:184" ht="15" customHeight="1">
      <c r="E17" s="833"/>
      <c r="F17" s="2267"/>
      <c r="G17" s="2267"/>
      <c r="H17" s="2267"/>
      <c r="I17" s="2267"/>
      <c r="J17" s="2379"/>
      <c r="K17" s="2379"/>
      <c r="L17" s="2379"/>
      <c r="M17" s="2379"/>
      <c r="N17" s="2379"/>
      <c r="O17" s="1061" t="s">
        <v>2087</v>
      </c>
      <c r="P17" s="1061" t="s">
        <v>2088</v>
      </c>
      <c r="Q17" s="1061" t="s">
        <v>2087</v>
      </c>
      <c r="R17" s="1061" t="s">
        <v>2088</v>
      </c>
      <c r="S17" s="1061" t="s">
        <v>2087</v>
      </c>
      <c r="T17" s="1061" t="s">
        <v>2088</v>
      </c>
      <c r="U17" s="1061" t="s">
        <v>2087</v>
      </c>
      <c r="V17" s="1061" t="s">
        <v>2088</v>
      </c>
      <c r="W17" s="1061" t="s">
        <v>2087</v>
      </c>
      <c r="X17" s="1061" t="s">
        <v>2088</v>
      </c>
      <c r="Y17" s="1061" t="s">
        <v>2087</v>
      </c>
      <c r="Z17" s="1061" t="s">
        <v>2088</v>
      </c>
      <c r="AA17" s="1061" t="s">
        <v>2087</v>
      </c>
      <c r="AB17" s="1061" t="s">
        <v>2088</v>
      </c>
      <c r="AC17" s="2362"/>
      <c r="AD17" s="2362"/>
      <c r="AE17" s="2362"/>
      <c r="AF17" s="2362"/>
      <c r="AG17" s="2362"/>
      <c r="AH17" s="2362"/>
      <c r="AI17" s="2362"/>
      <c r="AJ17" s="2362"/>
      <c r="AK17" s="2362"/>
      <c r="AL17" s="2362"/>
      <c r="AM17" s="2362"/>
      <c r="AN17" s="2362"/>
      <c r="AO17" s="2362"/>
      <c r="AP17" s="2362"/>
      <c r="AQ17" s="2362"/>
      <c r="AR17" s="2362"/>
      <c r="AS17" s="2362"/>
      <c r="AT17" s="2362"/>
      <c r="AU17" s="2362"/>
      <c r="AV17" s="2362"/>
      <c r="AW17" s="2362"/>
      <c r="AX17" s="2362"/>
      <c r="AY17" s="2362"/>
      <c r="AZ17" s="2362"/>
      <c r="BA17" s="2362"/>
      <c r="BB17" s="2362"/>
      <c r="BC17" s="2362"/>
      <c r="BD17" s="2362"/>
      <c r="BE17" s="2362"/>
      <c r="BF17" s="2362"/>
      <c r="BG17" s="2362"/>
      <c r="BH17" s="2362"/>
      <c r="BI17" s="2362"/>
      <c r="BJ17" s="2362"/>
      <c r="BK17" s="2362"/>
      <c r="BL17" s="2362"/>
      <c r="BM17" s="2362"/>
      <c r="BN17" s="2362"/>
      <c r="BO17" s="2362"/>
      <c r="BP17" s="2362"/>
      <c r="BQ17" s="2362"/>
      <c r="BR17" s="2362"/>
      <c r="BS17" s="2363"/>
      <c r="BT17" s="1061" t="s">
        <v>2087</v>
      </c>
      <c r="BU17" s="1061" t="s">
        <v>2088</v>
      </c>
      <c r="BV17" s="1061" t="s">
        <v>2087</v>
      </c>
      <c r="BW17" s="1061" t="s">
        <v>2088</v>
      </c>
      <c r="BX17" s="1061" t="s">
        <v>2087</v>
      </c>
      <c r="BY17" s="1061" t="s">
        <v>2088</v>
      </c>
      <c r="BZ17" s="1061" t="s">
        <v>2087</v>
      </c>
      <c r="CA17" s="1061" t="s">
        <v>2088</v>
      </c>
      <c r="CB17" s="1061" t="s">
        <v>2087</v>
      </c>
      <c r="CC17" s="1061" t="s">
        <v>2088</v>
      </c>
      <c r="CD17" s="1061" t="s">
        <v>2087</v>
      </c>
      <c r="CE17" s="1061" t="s">
        <v>2088</v>
      </c>
      <c r="CF17" s="1061" t="s">
        <v>2087</v>
      </c>
      <c r="CG17" s="1061" t="s">
        <v>2088</v>
      </c>
      <c r="CH17" s="1061" t="s">
        <v>2087</v>
      </c>
      <c r="CI17" s="1061" t="s">
        <v>2088</v>
      </c>
      <c r="CJ17" s="1061" t="s">
        <v>2087</v>
      </c>
      <c r="CK17" s="1061" t="s">
        <v>2088</v>
      </c>
      <c r="CL17" s="2369"/>
      <c r="CM17" s="2362"/>
      <c r="CN17" s="2362"/>
      <c r="CO17" s="2362"/>
      <c r="CP17" s="2362"/>
      <c r="CQ17" s="2362"/>
      <c r="CR17" s="2362"/>
      <c r="CS17" s="2362"/>
      <c r="CT17" s="2362"/>
      <c r="CU17" s="2362"/>
      <c r="CV17" s="2362"/>
      <c r="CW17" s="2362"/>
      <c r="CX17" s="2363"/>
      <c r="CY17" s="1061" t="s">
        <v>2087</v>
      </c>
      <c r="CZ17" s="1061" t="s">
        <v>2088</v>
      </c>
      <c r="DA17" s="1061" t="s">
        <v>2087</v>
      </c>
      <c r="DB17" s="1061" t="s">
        <v>2088</v>
      </c>
      <c r="DC17" s="1061" t="s">
        <v>2087</v>
      </c>
      <c r="DD17" s="1061" t="s">
        <v>2088</v>
      </c>
      <c r="DE17" s="1061" t="s">
        <v>2087</v>
      </c>
      <c r="DF17" s="1061" t="s">
        <v>2088</v>
      </c>
      <c r="DG17" s="1061" t="s">
        <v>2087</v>
      </c>
      <c r="DH17" s="1061" t="s">
        <v>2088</v>
      </c>
      <c r="DI17" s="1061" t="s">
        <v>2087</v>
      </c>
      <c r="DJ17" s="1061" t="s">
        <v>2088</v>
      </c>
      <c r="DK17" s="2369"/>
      <c r="DL17" s="2362"/>
      <c r="DM17" s="2362"/>
      <c r="DN17" s="2362"/>
      <c r="DO17" s="2362"/>
      <c r="DP17" s="2362"/>
      <c r="DQ17" s="2362"/>
      <c r="DR17" s="2362"/>
      <c r="DS17" s="2362"/>
      <c r="DT17" s="2362"/>
      <c r="DU17" s="2362"/>
      <c r="DV17" s="2362"/>
      <c r="DW17" s="2362"/>
      <c r="DX17" s="2362"/>
      <c r="DY17" s="2362"/>
      <c r="DZ17" s="2362"/>
      <c r="EA17" s="2362"/>
      <c r="EB17" s="2362"/>
      <c r="EC17" s="2362"/>
      <c r="ED17" s="2362"/>
      <c r="EE17" s="2362"/>
      <c r="EF17" s="2362"/>
      <c r="EG17" s="2362"/>
      <c r="EH17" s="2362"/>
      <c r="EI17" s="2362"/>
      <c r="EJ17" s="2362"/>
      <c r="EK17" s="2362"/>
      <c r="EL17" s="2362"/>
      <c r="EM17" s="2362"/>
      <c r="EN17" s="2362"/>
      <c r="EO17" s="2362"/>
      <c r="EP17" s="2362"/>
      <c r="EQ17" s="2362"/>
      <c r="ER17" s="2362"/>
      <c r="ES17" s="2362"/>
      <c r="ET17" s="2362"/>
      <c r="EU17" s="2362"/>
      <c r="EV17" s="2362"/>
      <c r="EW17" s="2362"/>
      <c r="EX17" s="2362"/>
      <c r="EY17" s="2362"/>
      <c r="EZ17" s="2362"/>
      <c r="FA17" s="2362"/>
      <c r="FB17" s="2362"/>
      <c r="FC17" s="2362"/>
      <c r="FD17" s="2362"/>
      <c r="FE17" s="2362"/>
      <c r="FF17" s="2362"/>
      <c r="FG17" s="2362"/>
      <c r="FH17" s="2362"/>
      <c r="FI17" s="2362"/>
      <c r="FJ17" s="2362"/>
      <c r="FK17" s="2362"/>
      <c r="FL17" s="2362"/>
      <c r="FM17" s="2362"/>
      <c r="FN17" s="2362"/>
      <c r="FO17" s="2362"/>
      <c r="FP17" s="2362"/>
      <c r="FQ17" s="2362"/>
      <c r="FR17" s="2362"/>
      <c r="FS17" s="2362"/>
      <c r="FT17" s="2362"/>
      <c r="FU17" s="2362"/>
      <c r="FV17" s="2362"/>
      <c r="FW17" s="2368"/>
      <c r="FX17" s="672"/>
    </row>
    <row r="18" spans="1:184" s="1854" customFormat="1" ht="12" hidden="1" customHeight="1">
      <c r="B18" s="822"/>
      <c r="E18" s="835"/>
      <c r="F18" s="1062"/>
      <c r="G18" s="1062"/>
      <c r="H18" s="1062"/>
      <c r="I18" s="1062"/>
      <c r="J18" s="1063"/>
      <c r="K18" s="1063"/>
      <c r="L18" s="1063"/>
      <c r="M18" s="1063"/>
      <c r="N18" s="1063"/>
      <c r="O18" s="1062"/>
      <c r="P18" s="1062"/>
      <c r="Q18" s="1062"/>
      <c r="R18" s="1062"/>
      <c r="S18" s="1062"/>
      <c r="T18" s="1062"/>
      <c r="U18" s="1064"/>
      <c r="V18" s="1064"/>
      <c r="W18" s="1064"/>
      <c r="X18" s="1064"/>
      <c r="Y18" s="1064"/>
      <c r="Z18" s="1064"/>
      <c r="AA18" s="1064"/>
      <c r="AB18" s="1062"/>
      <c r="AC18" s="1063"/>
      <c r="AD18" s="1063"/>
      <c r="AE18" s="1063"/>
      <c r="AF18" s="1063"/>
      <c r="AG18" s="1063"/>
      <c r="AH18" s="1063"/>
      <c r="AI18" s="1063"/>
      <c r="AJ18" s="1063"/>
      <c r="AK18" s="1063"/>
      <c r="AL18" s="1063"/>
      <c r="AM18" s="1063"/>
      <c r="AN18" s="1063"/>
      <c r="AO18" s="1063"/>
      <c r="AP18" s="1063"/>
      <c r="AQ18" s="1063"/>
      <c r="AR18" s="1063"/>
      <c r="AS18" s="1063"/>
      <c r="AT18" s="1063"/>
      <c r="AU18" s="1063"/>
      <c r="AV18" s="1063"/>
      <c r="AW18" s="1063"/>
      <c r="AX18" s="1063"/>
      <c r="AY18" s="1063"/>
      <c r="AZ18" s="1063"/>
      <c r="BA18" s="1063"/>
      <c r="BB18" s="1063"/>
      <c r="BC18" s="1063"/>
      <c r="BD18" s="1063"/>
      <c r="BE18" s="1063"/>
      <c r="BF18" s="1063"/>
      <c r="BG18" s="1063"/>
      <c r="BH18" s="1063"/>
      <c r="BI18" s="1063"/>
      <c r="BJ18" s="1063"/>
      <c r="BK18" s="1063"/>
      <c r="BL18" s="1063"/>
      <c r="BM18" s="1063"/>
      <c r="BN18" s="1063"/>
      <c r="BO18" s="1063"/>
      <c r="BP18" s="1063"/>
      <c r="BQ18" s="1063"/>
      <c r="BR18" s="1063"/>
      <c r="BS18" s="1063"/>
      <c r="BT18" s="1065"/>
      <c r="BU18" s="1065"/>
      <c r="BV18" s="1065"/>
      <c r="BW18" s="1065"/>
      <c r="BX18" s="1065"/>
      <c r="BY18" s="1065"/>
      <c r="BZ18" s="1065"/>
      <c r="CA18" s="1065"/>
      <c r="CB18" s="1065"/>
      <c r="CC18" s="1065"/>
      <c r="CD18" s="1065"/>
      <c r="CE18" s="1065"/>
      <c r="CF18" s="1065"/>
      <c r="CG18" s="1065"/>
      <c r="CH18" s="1065"/>
      <c r="CI18" s="1065"/>
      <c r="CJ18" s="1065"/>
      <c r="CK18" s="1065"/>
      <c r="CL18" s="1063"/>
      <c r="CM18" s="1063"/>
      <c r="CN18" s="1063"/>
      <c r="CO18" s="1063"/>
      <c r="CP18" s="1063"/>
      <c r="CQ18" s="1063"/>
      <c r="CR18" s="1063"/>
      <c r="CS18" s="1063"/>
      <c r="CT18" s="1063"/>
      <c r="CU18" s="1063"/>
      <c r="CV18" s="1063"/>
      <c r="CW18" s="1063"/>
      <c r="CX18" s="1063"/>
      <c r="CY18" s="1065"/>
      <c r="CZ18" s="1065"/>
      <c r="DA18" s="1065"/>
      <c r="DB18" s="1065"/>
      <c r="DC18" s="1065"/>
      <c r="DD18" s="1065"/>
      <c r="DE18" s="1065"/>
      <c r="DF18" s="1065"/>
      <c r="DG18" s="1065"/>
      <c r="DH18" s="1065"/>
      <c r="DI18" s="1065"/>
      <c r="DJ18" s="1065"/>
      <c r="DK18" s="1063"/>
      <c r="DL18" s="1063"/>
      <c r="DM18" s="1063"/>
      <c r="DN18" s="1063"/>
      <c r="DO18" s="1063"/>
      <c r="DP18" s="1063"/>
      <c r="DQ18" s="1063"/>
      <c r="DR18" s="1063"/>
      <c r="DS18" s="1063"/>
      <c r="DT18" s="1063"/>
      <c r="DU18" s="1063"/>
      <c r="DV18" s="1063"/>
      <c r="DW18" s="1063"/>
      <c r="DX18" s="1063"/>
      <c r="DY18" s="1063"/>
      <c r="DZ18" s="1063"/>
      <c r="EA18" s="1063"/>
      <c r="EB18" s="1063"/>
      <c r="EC18" s="1063"/>
      <c r="ED18" s="1063"/>
      <c r="EE18" s="1063"/>
      <c r="EF18" s="1063"/>
      <c r="EG18" s="1063"/>
      <c r="EH18" s="1063"/>
      <c r="EI18" s="1063"/>
      <c r="EJ18" s="1063"/>
      <c r="EK18" s="1063"/>
      <c r="EL18" s="1063"/>
      <c r="EM18" s="1063"/>
      <c r="EN18" s="1063"/>
      <c r="EO18" s="1063"/>
      <c r="EP18" s="1063"/>
      <c r="EQ18" s="1063"/>
      <c r="ER18" s="1063"/>
      <c r="ES18" s="1063"/>
      <c r="ET18" s="1063"/>
      <c r="EU18" s="1063"/>
      <c r="EV18" s="1063"/>
      <c r="EW18" s="1063"/>
      <c r="EX18" s="1063"/>
      <c r="EY18" s="1063"/>
      <c r="EZ18" s="1063"/>
      <c r="FA18" s="1063"/>
      <c r="FB18" s="1063"/>
      <c r="FC18" s="1063"/>
      <c r="FD18" s="1063"/>
      <c r="FE18" s="1063"/>
      <c r="FF18" s="1063"/>
      <c r="FG18" s="1063"/>
      <c r="FH18" s="1063"/>
      <c r="FI18" s="1063"/>
      <c r="FJ18" s="1063"/>
      <c r="FK18" s="1063"/>
      <c r="FL18" s="1063"/>
      <c r="FM18" s="1063"/>
      <c r="FN18" s="1063"/>
      <c r="FO18" s="1063"/>
      <c r="FP18" s="1063"/>
      <c r="FQ18" s="1063"/>
      <c r="FR18" s="1063"/>
      <c r="FS18" s="1063"/>
      <c r="FT18" s="1063"/>
      <c r="FU18" s="1063"/>
      <c r="FV18" s="1063"/>
      <c r="FW18" s="1062"/>
      <c r="FX18" s="1066"/>
    </row>
    <row r="19" spans="1:184" s="1854" customFormat="1" ht="11.25" hidden="1" customHeight="1">
      <c r="B19" s="822"/>
      <c r="E19" s="835"/>
      <c r="F19" s="1062"/>
      <c r="G19" s="1062"/>
      <c r="H19" s="1062"/>
      <c r="I19" s="1062"/>
      <c r="J19" s="1062"/>
      <c r="K19" s="1062"/>
      <c r="L19" s="1062"/>
      <c r="M19" s="1062"/>
      <c r="N19" s="1062"/>
      <c r="O19" s="1062"/>
      <c r="P19" s="1062"/>
      <c r="Q19" s="1062"/>
      <c r="R19" s="1062"/>
      <c r="S19" s="1062"/>
      <c r="T19" s="1062"/>
      <c r="U19" s="1064"/>
      <c r="V19" s="1064"/>
      <c r="W19" s="1064"/>
      <c r="X19" s="1064"/>
      <c r="Y19" s="1064"/>
      <c r="Z19" s="1064"/>
      <c r="AA19" s="1064"/>
      <c r="AB19" s="1062"/>
      <c r="AC19" s="1062"/>
      <c r="AD19" s="1062"/>
      <c r="AE19" s="1062"/>
      <c r="AF19" s="1062"/>
      <c r="AG19" s="1062"/>
      <c r="AH19" s="1062"/>
      <c r="AI19" s="1062"/>
      <c r="AJ19" s="1062"/>
      <c r="AK19" s="1062"/>
      <c r="AL19" s="1062"/>
      <c r="AM19" s="1062"/>
      <c r="AN19" s="1062"/>
      <c r="AO19" s="1062"/>
      <c r="AP19" s="1062"/>
      <c r="AQ19" s="1062"/>
      <c r="AR19" s="1062"/>
      <c r="AS19" s="1062"/>
      <c r="AT19" s="1062"/>
      <c r="AU19" s="1062"/>
      <c r="AV19" s="1062"/>
      <c r="AW19" s="1062"/>
      <c r="AX19" s="1062"/>
      <c r="AY19" s="1062"/>
      <c r="AZ19" s="1062"/>
      <c r="BA19" s="1062"/>
      <c r="BB19" s="1062"/>
      <c r="BC19" s="1062"/>
      <c r="BD19" s="1062"/>
      <c r="BE19" s="1062"/>
      <c r="BF19" s="1062"/>
      <c r="BG19" s="1062"/>
      <c r="BH19" s="1062"/>
      <c r="BI19" s="1062"/>
      <c r="BJ19" s="1062"/>
      <c r="BK19" s="1062"/>
      <c r="BL19" s="1062"/>
      <c r="BM19" s="1062"/>
      <c r="BN19" s="1062"/>
      <c r="BO19" s="1062"/>
      <c r="BP19" s="1062"/>
      <c r="BQ19" s="1062"/>
      <c r="BR19" s="1062"/>
      <c r="BS19" s="1062"/>
      <c r="BT19" s="1062"/>
      <c r="BU19" s="1062"/>
      <c r="BV19" s="1062"/>
      <c r="BW19" s="1062"/>
      <c r="BX19" s="1062"/>
      <c r="BY19" s="1062"/>
      <c r="BZ19" s="1062"/>
      <c r="CA19" s="1062"/>
      <c r="CB19" s="1062"/>
      <c r="CC19" s="1062"/>
      <c r="CD19" s="1062"/>
      <c r="CE19" s="1062"/>
      <c r="CF19" s="1062"/>
      <c r="CG19" s="1062"/>
      <c r="CH19" s="1062"/>
      <c r="CI19" s="1062"/>
      <c r="CJ19" s="1062"/>
      <c r="CK19" s="1062"/>
      <c r="CL19" s="1062"/>
      <c r="CM19" s="1062"/>
      <c r="CN19" s="1062"/>
      <c r="CO19" s="1062"/>
      <c r="CP19" s="1062"/>
      <c r="CQ19" s="1062"/>
      <c r="CR19" s="1062"/>
      <c r="CS19" s="1062"/>
      <c r="CT19" s="1062"/>
      <c r="CU19" s="1062"/>
      <c r="CV19" s="1062"/>
      <c r="CW19" s="1062"/>
      <c r="CX19" s="1062"/>
      <c r="CY19" s="1062"/>
      <c r="CZ19" s="1062"/>
      <c r="DA19" s="1062"/>
      <c r="DB19" s="1062"/>
      <c r="DC19" s="1062"/>
      <c r="DD19" s="1062"/>
      <c r="DE19" s="1062"/>
      <c r="DF19" s="1062"/>
      <c r="DG19" s="1062"/>
      <c r="DH19" s="1062"/>
      <c r="DI19" s="1062"/>
      <c r="DJ19" s="1062"/>
      <c r="DK19" s="1062"/>
      <c r="DL19" s="1062"/>
      <c r="DM19" s="1062"/>
      <c r="DN19" s="1062"/>
      <c r="DO19" s="1062"/>
      <c r="DP19" s="1062"/>
      <c r="DQ19" s="1062"/>
      <c r="DR19" s="1062"/>
      <c r="DS19" s="1062"/>
      <c r="DT19" s="1062"/>
      <c r="DU19" s="1062"/>
      <c r="DV19" s="1062"/>
      <c r="DW19" s="1062"/>
      <c r="DX19" s="1062"/>
      <c r="DY19" s="1062"/>
      <c r="DZ19" s="1062"/>
      <c r="EA19" s="1062"/>
      <c r="EB19" s="1062"/>
      <c r="EC19" s="1062"/>
      <c r="ED19" s="1062"/>
      <c r="EE19" s="1062"/>
      <c r="EF19" s="1062"/>
      <c r="EG19" s="1062"/>
      <c r="EH19" s="1062"/>
      <c r="EI19" s="1062"/>
      <c r="EJ19" s="1062"/>
      <c r="EK19" s="1062"/>
      <c r="EL19" s="1062"/>
      <c r="EM19" s="1062"/>
      <c r="EN19" s="1062"/>
      <c r="EO19" s="1062"/>
      <c r="EP19" s="1062"/>
      <c r="EQ19" s="1062"/>
      <c r="ER19" s="1062"/>
      <c r="ES19" s="1062"/>
      <c r="ET19" s="1062"/>
      <c r="EU19" s="1062"/>
      <c r="EV19" s="1062"/>
      <c r="EW19" s="1062"/>
      <c r="EX19" s="1062"/>
      <c r="EY19" s="1062"/>
      <c r="EZ19" s="1062"/>
      <c r="FA19" s="1062"/>
      <c r="FB19" s="1062"/>
      <c r="FC19" s="1062"/>
      <c r="FD19" s="1062"/>
      <c r="FE19" s="1062"/>
      <c r="FF19" s="1062"/>
      <c r="FG19" s="1062"/>
      <c r="FH19" s="1062"/>
      <c r="FI19" s="1062"/>
      <c r="FJ19" s="1062"/>
      <c r="FK19" s="1062"/>
      <c r="FL19" s="1062"/>
      <c r="FM19" s="1062"/>
      <c r="FN19" s="1062"/>
      <c r="FO19" s="1062"/>
      <c r="FP19" s="1062"/>
      <c r="FQ19" s="1062"/>
      <c r="FR19" s="1062"/>
      <c r="FS19" s="1062"/>
      <c r="FT19" s="1062"/>
      <c r="FU19" s="1062"/>
      <c r="FV19" s="1062"/>
      <c r="FW19" s="1062"/>
      <c r="FX19" s="1066"/>
    </row>
    <row r="20" spans="1:184" s="1854" customFormat="1" ht="11.25" hidden="1" customHeight="1">
      <c r="B20" s="836"/>
      <c r="D20" s="823"/>
      <c r="E20" s="835"/>
      <c r="F20" s="1067" t="s">
        <v>370</v>
      </c>
      <c r="G20" s="1068"/>
      <c r="H20" s="1069"/>
      <c r="I20" s="1069"/>
      <c r="J20" s="1069"/>
      <c r="K20" s="1069"/>
      <c r="L20" s="1069"/>
      <c r="M20" s="1069"/>
      <c r="N20" s="1069"/>
      <c r="O20" s="1068"/>
      <c r="P20" s="1068"/>
      <c r="Q20" s="1068"/>
      <c r="R20" s="1068"/>
      <c r="S20" s="1068"/>
      <c r="T20" s="1068"/>
      <c r="U20" s="1070"/>
      <c r="V20" s="1070"/>
      <c r="W20" s="1070"/>
      <c r="X20" s="1070"/>
      <c r="Y20" s="1070"/>
      <c r="Z20" s="1070"/>
      <c r="AA20" s="1070"/>
      <c r="AB20" s="1068"/>
      <c r="AC20" s="1069"/>
      <c r="AD20" s="1069"/>
      <c r="AE20" s="1069"/>
      <c r="AF20" s="1069"/>
      <c r="AG20" s="1069"/>
      <c r="AH20" s="1069"/>
      <c r="AI20" s="1069"/>
      <c r="AJ20" s="1069"/>
      <c r="AK20" s="1069"/>
      <c r="AL20" s="1069"/>
      <c r="AM20" s="1069"/>
      <c r="AN20" s="1069"/>
      <c r="AO20" s="1069"/>
      <c r="AP20" s="1069"/>
      <c r="AQ20" s="1069"/>
      <c r="AR20" s="1069"/>
      <c r="AS20" s="1069"/>
      <c r="AT20" s="1069"/>
      <c r="AU20" s="1069"/>
      <c r="AV20" s="1069"/>
      <c r="AW20" s="1069"/>
      <c r="AX20" s="1069"/>
      <c r="AY20" s="1069"/>
      <c r="AZ20" s="1069"/>
      <c r="BA20" s="1069"/>
      <c r="BB20" s="1069"/>
      <c r="BC20" s="1069"/>
      <c r="BD20" s="1069"/>
      <c r="BE20" s="1069"/>
      <c r="BF20" s="1069"/>
      <c r="BG20" s="1069"/>
      <c r="BH20" s="1069"/>
      <c r="BI20" s="1069"/>
      <c r="BJ20" s="1069"/>
      <c r="BK20" s="1069"/>
      <c r="BL20" s="1069"/>
      <c r="BM20" s="1069"/>
      <c r="BN20" s="1069"/>
      <c r="BO20" s="1069"/>
      <c r="BP20" s="1069"/>
      <c r="BQ20" s="1069"/>
      <c r="BR20" s="1069"/>
      <c r="BS20" s="1069"/>
      <c r="BT20" s="1069"/>
      <c r="BU20" s="1069"/>
      <c r="BV20" s="1069"/>
      <c r="BW20" s="1069"/>
      <c r="BX20" s="1069"/>
      <c r="BY20" s="1069"/>
      <c r="BZ20" s="1069"/>
      <c r="CA20" s="1069"/>
      <c r="CB20" s="1069"/>
      <c r="CC20" s="1069"/>
      <c r="CD20" s="1069"/>
      <c r="CE20" s="1069"/>
      <c r="CF20" s="1069"/>
      <c r="CG20" s="1069"/>
      <c r="CH20" s="1069"/>
      <c r="CI20" s="1069"/>
      <c r="CJ20" s="1069"/>
      <c r="CK20" s="1069"/>
      <c r="CL20" s="1071"/>
      <c r="CM20" s="1071"/>
      <c r="CN20" s="1071"/>
      <c r="CO20" s="1071"/>
      <c r="CP20" s="1071"/>
      <c r="CQ20" s="1071"/>
      <c r="CR20" s="1071"/>
      <c r="CS20" s="1071"/>
      <c r="CT20" s="1071"/>
      <c r="CU20" s="1071"/>
      <c r="CV20" s="1071"/>
      <c r="CW20" s="1071"/>
      <c r="CX20" s="1071"/>
      <c r="CY20" s="1071"/>
      <c r="CZ20" s="1071"/>
      <c r="DA20" s="1071"/>
      <c r="DB20" s="1071"/>
      <c r="DC20" s="1071"/>
      <c r="DD20" s="1071"/>
      <c r="DE20" s="1071"/>
      <c r="DF20" s="1071"/>
      <c r="DG20" s="1071"/>
      <c r="DH20" s="1071"/>
      <c r="DI20" s="1071"/>
      <c r="DJ20" s="1071"/>
      <c r="DK20" s="1071"/>
      <c r="DL20" s="1071"/>
      <c r="DM20" s="1071"/>
      <c r="DN20" s="1071"/>
      <c r="DO20" s="1071"/>
      <c r="DP20" s="1071"/>
      <c r="DQ20" s="1071"/>
      <c r="DR20" s="1071"/>
      <c r="DS20" s="1071"/>
      <c r="DT20" s="1071"/>
      <c r="DU20" s="1071"/>
      <c r="DV20" s="1071"/>
      <c r="DW20" s="1071"/>
      <c r="DX20" s="1071"/>
      <c r="DY20" s="1071"/>
      <c r="DZ20" s="1071"/>
      <c r="EA20" s="1071"/>
      <c r="EB20" s="1071"/>
      <c r="EC20" s="1071"/>
      <c r="ED20" s="1071"/>
      <c r="EE20" s="1071"/>
      <c r="EF20" s="1071"/>
      <c r="EG20" s="1071"/>
      <c r="EH20" s="1071"/>
      <c r="EI20" s="1071"/>
      <c r="EJ20" s="1071"/>
      <c r="EK20" s="1071"/>
      <c r="EL20" s="1071"/>
      <c r="EM20" s="1071"/>
      <c r="EN20" s="1071"/>
      <c r="EO20" s="1071"/>
      <c r="EP20" s="1071"/>
      <c r="EQ20" s="1071"/>
      <c r="ER20" s="1071"/>
      <c r="ES20" s="1071"/>
      <c r="ET20" s="1071"/>
      <c r="EU20" s="1071"/>
      <c r="EV20" s="1071"/>
      <c r="EW20" s="1071"/>
      <c r="EX20" s="1071"/>
      <c r="EY20" s="1071"/>
      <c r="EZ20" s="1071"/>
      <c r="FA20" s="1071"/>
      <c r="FB20" s="1071"/>
      <c r="FC20" s="1071"/>
      <c r="FD20" s="1071"/>
      <c r="FE20" s="1071"/>
      <c r="FF20" s="1071"/>
      <c r="FG20" s="1071"/>
      <c r="FH20" s="1071"/>
      <c r="FI20" s="1071"/>
      <c r="FJ20" s="1071"/>
      <c r="FK20" s="1071"/>
      <c r="FL20" s="1071"/>
      <c r="FM20" s="1071"/>
      <c r="FN20" s="1071"/>
      <c r="FO20" s="1071"/>
      <c r="FP20" s="1071"/>
      <c r="FQ20" s="1071"/>
      <c r="FR20" s="1071"/>
      <c r="FS20" s="1071"/>
      <c r="FT20" s="1071"/>
      <c r="FU20" s="1071"/>
      <c r="FV20" s="1071"/>
      <c r="FW20" s="1071"/>
      <c r="FX20" s="1072"/>
    </row>
    <row r="21" spans="1:184" s="1854" customFormat="1" ht="12" customHeight="1">
      <c r="A21" s="837"/>
      <c r="B21" s="837"/>
      <c r="C21" s="837"/>
      <c r="D21" s="837"/>
      <c r="E21" s="837"/>
      <c r="F21" s="835"/>
      <c r="G21" s="835"/>
      <c r="H21" s="835"/>
      <c r="I21" s="835"/>
      <c r="J21" s="835"/>
      <c r="K21" s="835"/>
      <c r="L21" s="835"/>
      <c r="M21" s="835"/>
      <c r="N21" s="835"/>
      <c r="O21" s="835"/>
      <c r="P21" s="835"/>
      <c r="Q21" s="835"/>
      <c r="R21" s="835"/>
      <c r="S21" s="838"/>
      <c r="T21" s="838"/>
      <c r="U21" s="835"/>
      <c r="V21" s="835"/>
      <c r="W21" s="835"/>
      <c r="X21" s="835"/>
      <c r="Y21" s="835"/>
      <c r="Z21" s="835"/>
      <c r="AA21" s="835"/>
      <c r="AB21" s="835"/>
      <c r="AC21" s="835"/>
      <c r="AD21" s="835"/>
      <c r="AE21" s="835"/>
      <c r="AF21" s="835"/>
      <c r="AG21" s="835"/>
      <c r="AH21" s="835"/>
      <c r="AI21" s="835"/>
      <c r="AJ21" s="835"/>
      <c r="AK21" s="835"/>
      <c r="AL21" s="835"/>
      <c r="AM21" s="835"/>
      <c r="AN21" s="835"/>
      <c r="AO21" s="835"/>
      <c r="AP21" s="835"/>
      <c r="AQ21" s="835"/>
      <c r="AR21" s="835"/>
      <c r="AS21" s="835"/>
      <c r="AT21" s="835"/>
      <c r="AU21" s="835"/>
      <c r="AV21" s="835"/>
      <c r="AW21" s="835"/>
      <c r="AX21" s="835"/>
      <c r="AY21" s="835"/>
      <c r="AZ21" s="835"/>
      <c r="BA21" s="835"/>
      <c r="BB21" s="835"/>
      <c r="BC21" s="835"/>
      <c r="BD21" s="835"/>
      <c r="BE21" s="835"/>
      <c r="BF21" s="835"/>
      <c r="BG21" s="835"/>
      <c r="BH21" s="835"/>
      <c r="BI21" s="835"/>
      <c r="BJ21" s="835"/>
      <c r="BK21" s="835"/>
      <c r="BL21" s="835"/>
      <c r="BM21" s="835"/>
      <c r="BN21" s="835"/>
      <c r="BO21" s="835"/>
      <c r="BP21" s="835"/>
      <c r="BQ21" s="835"/>
      <c r="BR21" s="835"/>
      <c r="BS21" s="835"/>
      <c r="BT21" s="835"/>
      <c r="BU21" s="835"/>
      <c r="BV21" s="835"/>
      <c r="BW21" s="835"/>
      <c r="BX21" s="835"/>
      <c r="BY21" s="835"/>
      <c r="BZ21" s="835"/>
      <c r="CA21" s="835"/>
      <c r="CB21" s="835"/>
      <c r="CC21" s="835"/>
      <c r="CD21" s="835"/>
      <c r="CE21" s="835"/>
      <c r="CF21" s="835"/>
      <c r="CG21" s="835"/>
      <c r="CH21" s="835"/>
      <c r="CI21" s="835"/>
      <c r="CJ21" s="835"/>
      <c r="CK21" s="835"/>
      <c r="CL21" s="835"/>
      <c r="CM21" s="835"/>
      <c r="CN21" s="835"/>
      <c r="CO21" s="835"/>
      <c r="CP21" s="835"/>
      <c r="CQ21" s="835"/>
      <c r="CR21" s="835"/>
      <c r="CS21" s="835"/>
      <c r="CT21" s="835"/>
      <c r="CU21" s="835"/>
      <c r="CV21" s="835"/>
      <c r="CW21" s="835"/>
      <c r="CX21" s="835"/>
      <c r="CY21" s="835"/>
      <c r="CZ21" s="835"/>
      <c r="DA21" s="835"/>
      <c r="DB21" s="835"/>
      <c r="DC21" s="835"/>
      <c r="DD21" s="835"/>
      <c r="DE21" s="835"/>
      <c r="DF21" s="835"/>
      <c r="DG21" s="835"/>
      <c r="DH21" s="835"/>
      <c r="DI21" s="835"/>
      <c r="DJ21" s="835"/>
      <c r="DK21" s="835"/>
      <c r="DL21" s="835"/>
      <c r="DM21" s="835"/>
      <c r="DN21" s="835"/>
      <c r="DO21" s="835"/>
      <c r="DP21" s="835"/>
      <c r="DQ21" s="835"/>
      <c r="DR21" s="835"/>
      <c r="DS21" s="835"/>
      <c r="DT21" s="835"/>
      <c r="DU21" s="835"/>
      <c r="DV21" s="835"/>
      <c r="DW21" s="835"/>
      <c r="DX21" s="835"/>
      <c r="DY21" s="835"/>
      <c r="DZ21" s="835"/>
      <c r="EA21" s="835"/>
      <c r="EB21" s="835"/>
      <c r="EC21" s="835"/>
      <c r="ED21" s="835"/>
      <c r="EE21" s="835"/>
      <c r="EF21" s="835"/>
      <c r="EG21" s="835"/>
      <c r="EH21" s="835"/>
      <c r="EI21" s="835"/>
      <c r="EJ21" s="835"/>
      <c r="EK21" s="835"/>
      <c r="EL21" s="835"/>
      <c r="EM21" s="835"/>
      <c r="EN21" s="835"/>
      <c r="EO21" s="835"/>
      <c r="EP21" s="835"/>
      <c r="EQ21" s="835"/>
      <c r="ER21" s="835"/>
      <c r="ES21" s="835"/>
      <c r="ET21" s="835"/>
      <c r="EU21" s="835"/>
      <c r="EV21" s="835"/>
      <c r="EW21" s="835"/>
      <c r="EX21" s="835"/>
      <c r="EY21" s="835"/>
      <c r="EZ21" s="835"/>
      <c r="FA21" s="835"/>
      <c r="FB21" s="835"/>
      <c r="FC21" s="835"/>
      <c r="FD21" s="835"/>
      <c r="FE21" s="835"/>
      <c r="FF21" s="835"/>
      <c r="FG21" s="835"/>
      <c r="FH21" s="835"/>
      <c r="FI21" s="835"/>
      <c r="FJ21" s="835"/>
      <c r="FK21" s="835"/>
      <c r="FL21" s="835"/>
      <c r="FM21" s="835"/>
      <c r="FN21" s="835"/>
      <c r="FO21" s="835"/>
      <c r="FP21" s="835"/>
      <c r="FQ21" s="835"/>
      <c r="FR21" s="835"/>
      <c r="FS21" s="835"/>
      <c r="FT21" s="835"/>
      <c r="FU21" s="835"/>
      <c r="FV21" s="835"/>
      <c r="FW21" s="835"/>
      <c r="FX21" s="837"/>
      <c r="FY21" s="837"/>
      <c r="FZ21" s="837"/>
      <c r="GA21" s="837"/>
      <c r="GB21" s="837"/>
    </row>
    <row r="22" spans="1:184" s="1854" customFormat="1" ht="12" customHeight="1">
      <c r="A22" s="837"/>
      <c r="B22" s="837"/>
      <c r="C22" s="837"/>
      <c r="D22" s="837"/>
      <c r="E22" s="837"/>
      <c r="FX22" s="837"/>
      <c r="FY22" s="837"/>
      <c r="FZ22" s="837"/>
      <c r="GA22" s="837"/>
      <c r="GB22" s="837"/>
    </row>
    <row r="23" spans="1:184" s="1718" customFormat="1" ht="12" customHeight="1">
      <c r="A23" s="947"/>
      <c r="B23" s="947"/>
      <c r="C23" s="947"/>
      <c r="D23" s="947"/>
      <c r="E23" s="947"/>
      <c r="O23" s="948"/>
      <c r="P23" s="948"/>
      <c r="Q23" s="948"/>
      <c r="R23" s="948"/>
      <c r="S23" s="948"/>
      <c r="T23" s="948"/>
      <c r="U23" s="948"/>
      <c r="V23" s="948"/>
      <c r="W23" s="948"/>
      <c r="X23" s="948"/>
      <c r="Y23" s="948"/>
      <c r="Z23" s="948"/>
      <c r="AA23" s="948"/>
      <c r="AB23" s="948"/>
      <c r="AC23" s="948"/>
      <c r="AD23" s="948"/>
      <c r="AE23" s="948"/>
      <c r="AF23" s="948"/>
      <c r="AG23" s="948"/>
      <c r="AH23" s="948"/>
      <c r="AI23" s="948"/>
      <c r="AJ23" s="948"/>
      <c r="AK23" s="948"/>
      <c r="AL23" s="948"/>
      <c r="AM23" s="948"/>
      <c r="AN23" s="948"/>
      <c r="AO23" s="948"/>
      <c r="AP23" s="948"/>
      <c r="AQ23" s="948"/>
      <c r="AR23" s="948"/>
      <c r="AS23" s="948"/>
      <c r="AT23" s="948"/>
      <c r="AU23" s="948"/>
      <c r="AV23" s="948"/>
      <c r="AW23" s="948"/>
      <c r="AX23" s="948"/>
      <c r="AY23" s="948"/>
      <c r="AZ23" s="948"/>
      <c r="BA23" s="948"/>
      <c r="BB23" s="948"/>
      <c r="BC23" s="948"/>
      <c r="BD23" s="948"/>
      <c r="BE23" s="948"/>
      <c r="BF23" s="948"/>
      <c r="BG23" s="948"/>
      <c r="BH23" s="948"/>
      <c r="BI23" s="948"/>
      <c r="BJ23" s="948"/>
      <c r="BK23" s="948"/>
      <c r="BL23" s="948"/>
      <c r="BM23" s="948"/>
      <c r="BN23" s="948"/>
      <c r="BO23" s="948"/>
      <c r="BP23" s="948"/>
      <c r="BQ23" s="948"/>
      <c r="BR23" s="948"/>
      <c r="BS23" s="948"/>
      <c r="BT23" s="949"/>
      <c r="BU23" s="949"/>
      <c r="BV23" s="949"/>
      <c r="BW23" s="949"/>
      <c r="BX23" s="949"/>
      <c r="BY23" s="949"/>
      <c r="BZ23" s="949"/>
      <c r="CA23" s="949"/>
      <c r="CB23" s="949"/>
      <c r="CC23" s="949"/>
      <c r="CD23" s="949"/>
      <c r="CE23" s="949"/>
      <c r="CF23" s="949"/>
      <c r="CG23" s="949"/>
      <c r="CH23" s="949"/>
      <c r="CI23" s="949"/>
      <c r="CJ23" s="949"/>
      <c r="CK23" s="949"/>
      <c r="CL23" s="949"/>
      <c r="CM23" s="949"/>
      <c r="CN23" s="949"/>
      <c r="CO23" s="949"/>
      <c r="CP23" s="949"/>
      <c r="CQ23" s="949"/>
      <c r="CR23" s="949"/>
      <c r="CS23" s="949"/>
      <c r="CT23" s="949"/>
      <c r="CU23" s="949"/>
      <c r="CV23" s="949"/>
      <c r="CW23" s="949"/>
      <c r="CX23" s="949"/>
      <c r="CY23" s="949"/>
      <c r="CZ23" s="949"/>
      <c r="DA23" s="949"/>
      <c r="DB23" s="949"/>
      <c r="DC23" s="949"/>
      <c r="DD23" s="949"/>
      <c r="DE23" s="949"/>
      <c r="DF23" s="949"/>
      <c r="DG23" s="949"/>
      <c r="DH23" s="949"/>
      <c r="DI23" s="949"/>
      <c r="DJ23" s="949"/>
      <c r="DK23" s="949"/>
      <c r="DL23" s="949"/>
      <c r="DM23" s="949"/>
      <c r="DN23" s="949"/>
      <c r="DO23" s="949"/>
      <c r="DP23" s="949"/>
      <c r="DQ23" s="949"/>
      <c r="DR23" s="949"/>
      <c r="DS23" s="949"/>
      <c r="DT23" s="949"/>
      <c r="DU23" s="949"/>
      <c r="DV23" s="949"/>
      <c r="DW23" s="949"/>
      <c r="DX23" s="949"/>
      <c r="FX23" s="947"/>
      <c r="FY23" s="947"/>
      <c r="FZ23" s="947"/>
      <c r="GA23" s="947"/>
      <c r="GB23" s="947"/>
    </row>
    <row r="24" spans="1:184" ht="12" customHeight="1">
      <c r="S24" s="834"/>
      <c r="T24" s="834"/>
      <c r="U24" s="834"/>
      <c r="V24" s="834"/>
      <c r="W24" s="834"/>
      <c r="X24" s="834"/>
      <c r="Y24" s="834"/>
      <c r="Z24" s="834"/>
      <c r="AA24" s="834"/>
      <c r="AB24" s="834"/>
      <c r="FX24" s="834"/>
      <c r="FY24" s="834"/>
      <c r="FZ24" s="834"/>
      <c r="GA24" s="834"/>
      <c r="GB24" s="834"/>
    </row>
  </sheetData>
  <sheetProtection formatColumns="0" formatRows="0" insertRows="0" deleteColumns="0" deleteRows="0" sort="0" autoFilter="0"/>
  <mergeCells count="198">
    <mergeCell ref="F10:FV10"/>
    <mergeCell ref="F5:BS5"/>
    <mergeCell ref="F6:BS6"/>
    <mergeCell ref="DG13:DJ13"/>
    <mergeCell ref="CH13:CK13"/>
    <mergeCell ref="FE11:FE17"/>
    <mergeCell ref="FF11:FF17"/>
    <mergeCell ref="FG11:FG17"/>
    <mergeCell ref="FH11:FH17"/>
    <mergeCell ref="FI11:FI17"/>
    <mergeCell ref="FJ11:FJ17"/>
    <mergeCell ref="EY11:EY17"/>
    <mergeCell ref="EZ11:EZ17"/>
    <mergeCell ref="FA11:FA17"/>
    <mergeCell ref="FB11:FB17"/>
    <mergeCell ref="FC11:FC17"/>
    <mergeCell ref="FD11:FD17"/>
    <mergeCell ref="FS11:FS17"/>
    <mergeCell ref="FT11:FT17"/>
    <mergeCell ref="FU11:FU17"/>
    <mergeCell ref="FV11:FV17"/>
    <mergeCell ref="FK11:FK17"/>
    <mergeCell ref="FL11:FL17"/>
    <mergeCell ref="FM11:FM17"/>
    <mergeCell ref="FN11:FN17"/>
    <mergeCell ref="FO11:FO17"/>
    <mergeCell ref="FP11:FP17"/>
    <mergeCell ref="FQ11:FQ17"/>
    <mergeCell ref="FR11:FR17"/>
    <mergeCell ref="EV11:EV17"/>
    <mergeCell ref="EW11:EW17"/>
    <mergeCell ref="EX11:EX17"/>
    <mergeCell ref="EM11:EM17"/>
    <mergeCell ref="EN11:EN17"/>
    <mergeCell ref="EO11:EO17"/>
    <mergeCell ref="EP11:EP17"/>
    <mergeCell ref="EQ11:EQ17"/>
    <mergeCell ref="ER11:ER17"/>
    <mergeCell ref="ES11:ES17"/>
    <mergeCell ref="ET11:ET17"/>
    <mergeCell ref="EU11:EU17"/>
    <mergeCell ref="EC11:EC17"/>
    <mergeCell ref="ED11:ED17"/>
    <mergeCell ref="EE11:EE17"/>
    <mergeCell ref="EF11:EF17"/>
    <mergeCell ref="EG11:EG17"/>
    <mergeCell ref="EH11:EH17"/>
    <mergeCell ref="DW11:DW17"/>
    <mergeCell ref="DX11:DX17"/>
    <mergeCell ref="DY11:DY17"/>
    <mergeCell ref="DZ11:DZ17"/>
    <mergeCell ref="EA11:EA17"/>
    <mergeCell ref="EB11:EB17"/>
    <mergeCell ref="DG16:DH16"/>
    <mergeCell ref="DQ11:DQ17"/>
    <mergeCell ref="DR11:DR17"/>
    <mergeCell ref="DS11:DS17"/>
    <mergeCell ref="DT11:DT17"/>
    <mergeCell ref="DI14:DJ15"/>
    <mergeCell ref="DI16:DJ16"/>
    <mergeCell ref="DU11:DU17"/>
    <mergeCell ref="DV11:DV17"/>
    <mergeCell ref="DK11:DK17"/>
    <mergeCell ref="DL11:DL17"/>
    <mergeCell ref="DM11:DM17"/>
    <mergeCell ref="DN11:DN17"/>
    <mergeCell ref="DO11:DO17"/>
    <mergeCell ref="DP11:DP17"/>
    <mergeCell ref="BX16:BY16"/>
    <mergeCell ref="BZ13:CA15"/>
    <mergeCell ref="BZ16:CA16"/>
    <mergeCell ref="CB12:CC12"/>
    <mergeCell ref="CB13:CC15"/>
    <mergeCell ref="CB16:CC16"/>
    <mergeCell ref="CD13:CE15"/>
    <mergeCell ref="CD16:CE16"/>
    <mergeCell ref="CF13:CG15"/>
    <mergeCell ref="CF16:CG16"/>
    <mergeCell ref="F11:F17"/>
    <mergeCell ref="G11:G17"/>
    <mergeCell ref="H11:H17"/>
    <mergeCell ref="I11:I17"/>
    <mergeCell ref="J11:J17"/>
    <mergeCell ref="K11:K17"/>
    <mergeCell ref="BP11:BP17"/>
    <mergeCell ref="BE11:BE17"/>
    <mergeCell ref="BF11:BF17"/>
    <mergeCell ref="BG11:BG17"/>
    <mergeCell ref="BH11:BH17"/>
    <mergeCell ref="BI11:BI17"/>
    <mergeCell ref="BJ11:BJ17"/>
    <mergeCell ref="BC11:BC17"/>
    <mergeCell ref="BD11:BD17"/>
    <mergeCell ref="O13:R13"/>
    <mergeCell ref="U13:X13"/>
    <mergeCell ref="Y13:AB13"/>
    <mergeCell ref="BL11:BL17"/>
    <mergeCell ref="BM11:BM17"/>
    <mergeCell ref="BN11:BN17"/>
    <mergeCell ref="BO11:BO17"/>
    <mergeCell ref="Y14:Z15"/>
    <mergeCell ref="Y16:Z16"/>
    <mergeCell ref="BT8:CX8"/>
    <mergeCell ref="CY8:DX8"/>
    <mergeCell ref="L11:L17"/>
    <mergeCell ref="M11:M17"/>
    <mergeCell ref="N11:N17"/>
    <mergeCell ref="O11:AB11"/>
    <mergeCell ref="AC11:AC17"/>
    <mergeCell ref="AD11:AD17"/>
    <mergeCell ref="O12:R12"/>
    <mergeCell ref="S12:AB12"/>
    <mergeCell ref="AM11:AM17"/>
    <mergeCell ref="AN11:AN17"/>
    <mergeCell ref="AO11:AO17"/>
    <mergeCell ref="AP11:AP17"/>
    <mergeCell ref="AQ11:AQ17"/>
    <mergeCell ref="AR11:AR17"/>
    <mergeCell ref="AS11:AS17"/>
    <mergeCell ref="AT11:AT17"/>
    <mergeCell ref="AU11:AU17"/>
    <mergeCell ref="AV11:AV17"/>
    <mergeCell ref="AW11:AW17"/>
    <mergeCell ref="AX11:AX17"/>
    <mergeCell ref="BK11:BK17"/>
    <mergeCell ref="BQ11:BQ17"/>
    <mergeCell ref="DY8:FV8"/>
    <mergeCell ref="FW8:FW17"/>
    <mergeCell ref="AE11:AE17"/>
    <mergeCell ref="AF11:AF17"/>
    <mergeCell ref="EI11:EI17"/>
    <mergeCell ref="EJ11:EJ17"/>
    <mergeCell ref="EK11:EK17"/>
    <mergeCell ref="EL11:EL17"/>
    <mergeCell ref="CL11:CL17"/>
    <mergeCell ref="CM11:CM17"/>
    <mergeCell ref="CN11:CN17"/>
    <mergeCell ref="CO11:CO17"/>
    <mergeCell ref="AG11:AG17"/>
    <mergeCell ref="AH11:AH17"/>
    <mergeCell ref="AI11:AI17"/>
    <mergeCell ref="AJ11:AJ17"/>
    <mergeCell ref="AK11:AK17"/>
    <mergeCell ref="AL11:AL17"/>
    <mergeCell ref="AY11:AY17"/>
    <mergeCell ref="AZ11:AZ17"/>
    <mergeCell ref="BA11:BA17"/>
    <mergeCell ref="BB11:BB17"/>
    <mergeCell ref="BV13:BW15"/>
    <mergeCell ref="O8:BS8"/>
    <mergeCell ref="AA14:AB15"/>
    <mergeCell ref="AA16:AB16"/>
    <mergeCell ref="BT13:BU15"/>
    <mergeCell ref="BT16:BU16"/>
    <mergeCell ref="O14:P15"/>
    <mergeCell ref="O16:P16"/>
    <mergeCell ref="Q14:R15"/>
    <mergeCell ref="Q16:R16"/>
    <mergeCell ref="S13:T15"/>
    <mergeCell ref="S16:T16"/>
    <mergeCell ref="U14:V15"/>
    <mergeCell ref="W14:X15"/>
    <mergeCell ref="U16:V16"/>
    <mergeCell ref="W16:X16"/>
    <mergeCell ref="BR11:BR17"/>
    <mergeCell ref="BS11:BS17"/>
    <mergeCell ref="BT11:CK11"/>
    <mergeCell ref="BT12:BW12"/>
    <mergeCell ref="BX12:CA12"/>
    <mergeCell ref="CD12:CK12"/>
    <mergeCell ref="BV16:BW16"/>
    <mergeCell ref="BX13:BY15"/>
    <mergeCell ref="CH14:CI15"/>
    <mergeCell ref="CH16:CI16"/>
    <mergeCell ref="CJ14:CK15"/>
    <mergeCell ref="CJ16:CK16"/>
    <mergeCell ref="CY13:CZ15"/>
    <mergeCell ref="CY16:CZ16"/>
    <mergeCell ref="DA13:DB15"/>
    <mergeCell ref="DA16:DB16"/>
    <mergeCell ref="CV11:CV17"/>
    <mergeCell ref="CW11:CW17"/>
    <mergeCell ref="CX11:CX17"/>
    <mergeCell ref="CY11:DJ11"/>
    <mergeCell ref="CY12:DD12"/>
    <mergeCell ref="DG12:DJ12"/>
    <mergeCell ref="CP11:CP17"/>
    <mergeCell ref="CQ11:CQ17"/>
    <mergeCell ref="CR11:CR17"/>
    <mergeCell ref="CS11:CS17"/>
    <mergeCell ref="CT11:CT17"/>
    <mergeCell ref="CU11:CU17"/>
    <mergeCell ref="DC13:DD15"/>
    <mergeCell ref="DC16:DD16"/>
    <mergeCell ref="DE12:DF12"/>
    <mergeCell ref="DE13:DF15"/>
    <mergeCell ref="DE16:DF16"/>
    <mergeCell ref="DG14:DH15"/>
  </mergeCells>
  <dataValidations count="1">
    <dataValidation allowBlank="1" showInputMessage="1" showErrorMessage="1" sqref="AA14:AB16 U16:Z16"/>
  </dataValidations>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39997558519241921"/>
  </sheetPr>
  <dimension ref="A1:AP57"/>
  <sheetViews>
    <sheetView showGridLines="0" topLeftCell="P23" workbookViewId="0"/>
  </sheetViews>
  <sheetFormatPr defaultColWidth="10.5703125" defaultRowHeight="14.25" customHeight="1"/>
  <cols>
    <col min="1" max="1" width="10.5703125" style="1742" hidden="1"/>
    <col min="2" max="2" width="11" style="1742" hidden="1" customWidth="1"/>
    <col min="3" max="3" width="10.5703125" style="1742" hidden="1"/>
    <col min="4" max="4" width="11.85546875" style="1742" hidden="1" customWidth="1"/>
    <col min="5" max="5" width="10" style="1742" hidden="1" customWidth="1"/>
    <col min="6" max="6" width="8.7109375" style="1742" hidden="1" customWidth="1"/>
    <col min="7" max="7" width="7.5703125" style="1742" hidden="1" customWidth="1"/>
    <col min="8" max="8" width="11.42578125" style="1742" hidden="1" customWidth="1"/>
    <col min="9" max="9" width="14.140625" style="1742" hidden="1" customWidth="1"/>
    <col min="10" max="10" width="9.85546875" style="1742" hidden="1" customWidth="1"/>
    <col min="11" max="11" width="14.7109375" style="1742" hidden="1" customWidth="1"/>
    <col min="12" max="12" width="19.140625" style="1741" hidden="1" customWidth="1"/>
    <col min="13" max="14" width="12.28515625" style="1683" hidden="1" customWidth="1"/>
    <col min="15" max="15" width="23.42578125" style="1683" hidden="1" customWidth="1"/>
    <col min="16" max="16" width="3.7109375" style="1720" customWidth="1"/>
    <col min="17" max="18" width="3.7109375" style="1674" customWidth="1"/>
    <col min="19" max="19" width="12.7109375" style="1713" customWidth="1"/>
    <col min="20" max="20" width="35.7109375" style="1829" customWidth="1"/>
    <col min="21" max="21" width="0.140625" style="1829" customWidth="1"/>
    <col min="22" max="24" width="24.7109375" style="1829" hidden="1" customWidth="1"/>
    <col min="25" max="25" width="11.7109375" style="1829" hidden="1" customWidth="1"/>
    <col min="26" max="26" width="3.7109375" style="1829" hidden="1" customWidth="1"/>
    <col min="27" max="27" width="11.7109375" style="1829" hidden="1" customWidth="1"/>
    <col min="28" max="28" width="8.5703125" style="1829" hidden="1" customWidth="1"/>
    <col min="29" max="31" width="24.7109375" style="1829" customWidth="1"/>
    <col min="32" max="32" width="11.7109375" style="1829" customWidth="1"/>
    <col min="33" max="33" width="3.7109375" style="1829" customWidth="1"/>
    <col min="34" max="34" width="11.7109375" style="1829" customWidth="1"/>
    <col min="35" max="35" width="8.5703125" style="1829" hidden="1" customWidth="1"/>
    <col min="36" max="36" width="4.7109375" style="1829" customWidth="1"/>
    <col min="37" max="37" width="115.7109375" style="1829" customWidth="1"/>
    <col min="38" max="39" width="10.5703125" style="1755"/>
    <col min="40" max="40" width="11.140625" style="1755" customWidth="1"/>
    <col min="41" max="42" width="10.5703125" style="1755"/>
  </cols>
  <sheetData>
    <row r="1" spans="1:42" ht="14.25" hidden="1" customHeight="1">
      <c r="X1" s="254"/>
      <c r="Y1" s="254"/>
      <c r="AE1" s="254"/>
      <c r="AF1" s="254"/>
    </row>
    <row r="2" spans="1:42" ht="23.25" hidden="1" customHeight="1">
      <c r="A2" s="1242"/>
      <c r="B2" s="1242"/>
      <c r="C2" s="1242"/>
      <c r="D2" s="1242"/>
      <c r="E2" s="2221">
        <v>1</v>
      </c>
      <c r="F2" s="1242"/>
      <c r="G2" s="1242"/>
      <c r="H2" s="1242"/>
      <c r="I2" s="1242"/>
      <c r="J2" s="1242"/>
      <c r="K2" s="1242"/>
      <c r="L2" s="1243"/>
      <c r="M2" s="1244"/>
      <c r="N2" s="1244"/>
      <c r="O2" s="1244"/>
      <c r="P2" s="285"/>
      <c r="Q2" s="284"/>
      <c r="R2" s="279"/>
      <c r="S2" s="1353" t="e">
        <f>INDEX(PT_DIFFERENTIATION_NUM_NTAR,MATCH(A2,PT_DIFFERENTIATION_NTAR_ID,0))</f>
        <v>#N/A</v>
      </c>
      <c r="T2" s="216" t="s">
        <v>124</v>
      </c>
      <c r="U2" s="218"/>
      <c r="V2" s="2215"/>
      <c r="W2" s="2216"/>
      <c r="X2" s="2216"/>
      <c r="Y2" s="2216"/>
      <c r="Z2" s="2216"/>
      <c r="AA2" s="2216"/>
      <c r="AB2" s="2217"/>
      <c r="AC2" s="2215" t="e">
        <f>INDEX(PT_DIFFERENTIATION_NTAR,MATCH(A2,PT_DIFFERENTIATION_NTAR_ID,0))</f>
        <v>#N/A</v>
      </c>
      <c r="AD2" s="2216"/>
      <c r="AE2" s="2216"/>
      <c r="AF2" s="2216"/>
      <c r="AG2" s="2216"/>
      <c r="AH2" s="2216"/>
      <c r="AI2" s="2216"/>
      <c r="AJ2" s="2217"/>
      <c r="AK2" s="1138"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2" s="428"/>
      <c r="AN2" s="428" t="str">
        <f t="shared" ref="AN2:AN13" si="0">IF(T2="","",T2)</f>
        <v>Наименование тарифа</v>
      </c>
      <c r="AO2" s="428"/>
      <c r="AP2" s="428"/>
    </row>
    <row r="3" spans="1:42" ht="23.25" hidden="1" customHeight="1">
      <c r="A3" s="1242"/>
      <c r="B3" s="1242"/>
      <c r="C3" s="1242"/>
      <c r="D3" s="1242"/>
      <c r="E3" s="2222"/>
      <c r="F3" s="2221">
        <v>1</v>
      </c>
      <c r="G3" s="1242"/>
      <c r="H3" s="1242"/>
      <c r="I3" s="1242"/>
      <c r="J3" s="1242"/>
      <c r="K3" s="1242"/>
      <c r="L3" s="1243"/>
      <c r="M3" s="1244"/>
      <c r="N3" s="1244"/>
      <c r="O3" s="1244"/>
      <c r="P3" s="1347"/>
      <c r="Q3" s="276"/>
      <c r="R3" s="277"/>
      <c r="S3" s="1353" t="e">
        <f>INDEX(PT_DIFFERENTIATION_NUM_TER,MATCH(B3,PT_DIFFERENTIATION_TER_ID,0))</f>
        <v>#N/A</v>
      </c>
      <c r="T3" s="228" t="s">
        <v>1463</v>
      </c>
      <c r="U3" s="218"/>
      <c r="V3" s="2215"/>
      <c r="W3" s="2216"/>
      <c r="X3" s="2216"/>
      <c r="Y3" s="2216"/>
      <c r="Z3" s="2216"/>
      <c r="AA3" s="2216"/>
      <c r="AB3" s="2217"/>
      <c r="AC3" s="2215" t="e">
        <f>INDEX(PT_DIFFERENTIATION_TER,MATCH(B3,PT_DIFFERENTIATION_TER_ID,0))</f>
        <v>#N/A</v>
      </c>
      <c r="AD3" s="2216"/>
      <c r="AE3" s="2216"/>
      <c r="AF3" s="2216"/>
      <c r="AG3" s="2216"/>
      <c r="AH3" s="2216"/>
      <c r="AI3" s="2216"/>
      <c r="AJ3" s="2217"/>
      <c r="AK3" s="1138" t="s">
        <v>1464</v>
      </c>
      <c r="AM3" s="428"/>
      <c r="AN3" s="428" t="str">
        <f t="shared" si="0"/>
        <v>Территория действия тарифа</v>
      </c>
      <c r="AO3" s="428"/>
      <c r="AP3" s="428"/>
    </row>
    <row r="4" spans="1:42" ht="23.25" hidden="1" customHeight="1">
      <c r="A4" s="1242"/>
      <c r="B4" s="1242"/>
      <c r="C4" s="1242"/>
      <c r="D4" s="1242"/>
      <c r="E4" s="2222"/>
      <c r="F4" s="2222"/>
      <c r="G4" s="2221">
        <v>1</v>
      </c>
      <c r="H4" s="1242"/>
      <c r="I4" s="1242"/>
      <c r="J4" s="1242"/>
      <c r="K4" s="1242"/>
      <c r="L4" s="1243"/>
      <c r="M4" s="1244"/>
      <c r="N4" s="1244"/>
      <c r="O4" s="1244"/>
      <c r="P4" s="278"/>
      <c r="Q4" s="276"/>
      <c r="R4" s="277"/>
      <c r="S4" s="1353" t="e">
        <f>INDEX(PT_DIFFERENTIATION_NUM_CS,MATCH(C4,PT_DIFFERENTIATION_CS_ID,0))</f>
        <v>#N/A</v>
      </c>
      <c r="T4" s="229" t="s">
        <v>2089</v>
      </c>
      <c r="U4" s="218"/>
      <c r="V4" s="2215"/>
      <c r="W4" s="2216"/>
      <c r="X4" s="2216"/>
      <c r="Y4" s="2216"/>
      <c r="Z4" s="2216"/>
      <c r="AA4" s="2216"/>
      <c r="AB4" s="2217"/>
      <c r="AC4" s="2215" t="e">
        <f>INDEX(PT_DIFFERENTIATION_CS,MATCH(C4,PT_DIFFERENTIATION_CS_ID,0))</f>
        <v>#N/A</v>
      </c>
      <c r="AD4" s="2216"/>
      <c r="AE4" s="2216"/>
      <c r="AF4" s="2216"/>
      <c r="AG4" s="2216"/>
      <c r="AH4" s="2216"/>
      <c r="AI4" s="2216"/>
      <c r="AJ4" s="2217"/>
      <c r="AK4" s="1138" t="s">
        <v>2090</v>
      </c>
      <c r="AM4" s="428"/>
      <c r="AN4" s="428" t="str">
        <f t="shared" si="0"/>
        <v>Наименование централизованной системы горячего водоснабжения</v>
      </c>
      <c r="AO4" s="428"/>
      <c r="AP4" s="428"/>
    </row>
    <row r="5" spans="1:42" ht="23.25" hidden="1" customHeight="1">
      <c r="A5" s="1242"/>
      <c r="B5" s="1242"/>
      <c r="C5" s="1242"/>
      <c r="D5" s="1242"/>
      <c r="E5" s="2222"/>
      <c r="F5" s="2222"/>
      <c r="G5" s="2222"/>
      <c r="H5" s="2222"/>
      <c r="I5" s="2223" t="e">
        <f>S4&amp;".1"</f>
        <v>#N/A</v>
      </c>
      <c r="J5" s="1242"/>
      <c r="K5" s="1242"/>
      <c r="L5" s="1243"/>
      <c r="P5" s="2143">
        <v>1</v>
      </c>
      <c r="Q5" s="1341"/>
      <c r="R5" s="280"/>
      <c r="S5" s="1353" t="e">
        <f>$I5</f>
        <v>#N/A</v>
      </c>
      <c r="T5" s="203" t="s">
        <v>1680</v>
      </c>
      <c r="U5" s="218"/>
      <c r="V5" s="2313"/>
      <c r="W5" s="2314"/>
      <c r="X5" s="2314"/>
      <c r="Y5" s="2314"/>
      <c r="Z5" s="2314"/>
      <c r="AA5" s="2314"/>
      <c r="AB5" s="2315"/>
      <c r="AC5" s="2316"/>
      <c r="AD5" s="2317"/>
      <c r="AE5" s="2317"/>
      <c r="AF5" s="2317"/>
      <c r="AG5" s="2317"/>
      <c r="AH5" s="2317"/>
      <c r="AI5" s="2317"/>
      <c r="AJ5" s="2318"/>
      <c r="AK5" s="1138" t="s">
        <v>1681</v>
      </c>
      <c r="AM5" s="428"/>
      <c r="AN5" s="428" t="str">
        <f t="shared" si="0"/>
        <v>Наименование признака дифференциации</v>
      </c>
      <c r="AO5" s="428"/>
      <c r="AP5" s="428"/>
    </row>
    <row r="6" spans="1:42" ht="23.25" hidden="1" customHeight="1">
      <c r="A6" s="1242"/>
      <c r="B6" s="1242"/>
      <c r="C6" s="1242"/>
      <c r="D6" s="1242"/>
      <c r="E6" s="2222"/>
      <c r="F6" s="2222"/>
      <c r="G6" s="2222"/>
      <c r="H6" s="2222"/>
      <c r="I6" s="2224"/>
      <c r="J6" s="2223" t="e">
        <f>I5&amp;".1"</f>
        <v>#N/A</v>
      </c>
      <c r="K6" s="1242"/>
      <c r="L6" s="1243" t="s">
        <v>1472</v>
      </c>
      <c r="P6" s="2143"/>
      <c r="Q6" s="2143">
        <v>1</v>
      </c>
      <c r="R6" s="281"/>
      <c r="S6" s="1353" t="e">
        <f>$J6</f>
        <v>#N/A</v>
      </c>
      <c r="T6" s="204" t="s">
        <v>1473</v>
      </c>
      <c r="U6" s="218"/>
      <c r="V6" s="2210"/>
      <c r="W6" s="2211"/>
      <c r="X6" s="2211"/>
      <c r="Y6" s="2211"/>
      <c r="Z6" s="2211"/>
      <c r="AA6" s="2211"/>
      <c r="AB6" s="2212"/>
      <c r="AC6" s="2210"/>
      <c r="AD6" s="2211"/>
      <c r="AE6" s="2211"/>
      <c r="AF6" s="2211"/>
      <c r="AG6" s="2211"/>
      <c r="AH6" s="2211"/>
      <c r="AI6" s="2211"/>
      <c r="AJ6" s="2212"/>
      <c r="AK6" s="1192" t="s">
        <v>1682</v>
      </c>
      <c r="AM6" s="428"/>
      <c r="AN6" s="428" t="str">
        <f t="shared" si="0"/>
        <v>Группа потребителей</v>
      </c>
      <c r="AO6" s="428"/>
      <c r="AP6" s="428"/>
    </row>
    <row r="7" spans="1:42" ht="23.25" hidden="1" customHeight="1">
      <c r="A7" s="1242"/>
      <c r="B7" s="1242"/>
      <c r="C7" s="1242"/>
      <c r="D7" s="1242"/>
      <c r="E7" s="2222"/>
      <c r="F7" s="2222"/>
      <c r="G7" s="2222"/>
      <c r="H7" s="2222"/>
      <c r="I7" s="2224"/>
      <c r="J7" s="2224"/>
      <c r="K7" s="2223" t="e">
        <f>J6&amp;".1"</f>
        <v>#N/A</v>
      </c>
      <c r="L7" s="1243"/>
      <c r="P7" s="2143"/>
      <c r="Q7" s="2143"/>
      <c r="R7" s="281">
        <v>1</v>
      </c>
      <c r="S7" s="1353" t="e">
        <f>$K7</f>
        <v>#N/A</v>
      </c>
      <c r="T7" s="1304"/>
      <c r="U7" s="218"/>
      <c r="V7" s="1664"/>
      <c r="W7" s="1664"/>
      <c r="X7" s="1666"/>
      <c r="Y7" s="2225"/>
      <c r="Z7" s="2017" t="s">
        <v>62</v>
      </c>
      <c r="AA7" s="2225"/>
      <c r="AB7" s="2017" t="s">
        <v>62</v>
      </c>
      <c r="AC7" s="1664"/>
      <c r="AD7" s="1664"/>
      <c r="AE7" s="1666"/>
      <c r="AF7" s="2225"/>
      <c r="AG7" s="2017" t="s">
        <v>62</v>
      </c>
      <c r="AH7" s="2227"/>
      <c r="AI7" s="2017" t="s">
        <v>62</v>
      </c>
      <c r="AJ7" s="1703"/>
      <c r="AK7" s="2319"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7" s="439" t="e">
        <f ca="1">STRCHECKDATE(V8:AJ8)</f>
        <v>#NAME?</v>
      </c>
      <c r="AM7" s="428"/>
      <c r="AN7" s="428" t="str">
        <f t="shared" si="0"/>
        <v/>
      </c>
      <c r="AO7" s="428"/>
      <c r="AP7" s="428"/>
    </row>
    <row r="8" spans="1:42" ht="0.75" hidden="1" customHeight="1">
      <c r="A8" s="1242"/>
      <c r="B8" s="1242"/>
      <c r="C8" s="1242"/>
      <c r="D8" s="1242"/>
      <c r="E8" s="2222"/>
      <c r="F8" s="2222"/>
      <c r="G8" s="2222"/>
      <c r="H8" s="2222"/>
      <c r="I8" s="2224"/>
      <c r="J8" s="2224"/>
      <c r="K8" s="2223"/>
      <c r="L8" s="1243"/>
      <c r="P8" s="2143"/>
      <c r="Q8" s="2143"/>
      <c r="R8" s="281"/>
      <c r="S8" s="1350"/>
      <c r="T8" s="218"/>
      <c r="U8" s="218"/>
      <c r="V8" s="1665"/>
      <c r="W8" s="1665"/>
      <c r="X8" s="1667" t="str">
        <f>Y7&amp;"-"&amp;AA7</f>
        <v>-</v>
      </c>
      <c r="Y8" s="2226"/>
      <c r="Z8" s="2017"/>
      <c r="AA8" s="2226"/>
      <c r="AB8" s="2017"/>
      <c r="AC8" s="1665"/>
      <c r="AD8" s="1665"/>
      <c r="AE8" s="1667" t="str">
        <f>AF7&amp;"-"&amp;AH7</f>
        <v>-</v>
      </c>
      <c r="AF8" s="2226"/>
      <c r="AG8" s="2017"/>
      <c r="AH8" s="2228"/>
      <c r="AI8" s="2017"/>
      <c r="AJ8" s="1704"/>
      <c r="AK8" s="2319"/>
      <c r="AM8" s="428"/>
      <c r="AN8" s="428" t="str">
        <f t="shared" si="0"/>
        <v/>
      </c>
      <c r="AO8" s="428"/>
      <c r="AP8" s="428"/>
    </row>
    <row r="9" spans="1:42" ht="21" hidden="1" customHeight="1">
      <c r="A9" s="1242"/>
      <c r="B9" s="1242"/>
      <c r="C9" s="1242"/>
      <c r="D9" s="1242"/>
      <c r="E9" s="2222"/>
      <c r="F9" s="2222"/>
      <c r="G9" s="2222"/>
      <c r="H9" s="2222"/>
      <c r="I9" s="2224"/>
      <c r="J9" s="2223"/>
      <c r="K9" s="1242"/>
      <c r="L9" s="1243"/>
      <c r="P9" s="2143"/>
      <c r="Q9" s="2143"/>
      <c r="R9" s="280"/>
      <c r="S9" s="1159"/>
      <c r="T9" s="205" t="s">
        <v>1683</v>
      </c>
      <c r="U9" s="294"/>
      <c r="V9" s="294"/>
      <c r="W9" s="294"/>
      <c r="X9" s="294"/>
      <c r="Y9" s="294"/>
      <c r="Z9" s="294"/>
      <c r="AA9" s="294"/>
      <c r="AB9" s="294"/>
      <c r="AC9" s="294"/>
      <c r="AD9" s="294"/>
      <c r="AE9" s="294"/>
      <c r="AF9" s="294"/>
      <c r="AG9" s="294"/>
      <c r="AH9" s="294"/>
      <c r="AI9" s="294"/>
      <c r="AJ9" s="294"/>
      <c r="AK9" s="1138" t="s">
        <v>1684</v>
      </c>
      <c r="AM9" s="428"/>
      <c r="AN9" s="428" t="str">
        <f t="shared" si="0"/>
        <v>Добавить значение признака дифференциации</v>
      </c>
      <c r="AO9" s="428"/>
      <c r="AP9" s="428"/>
    </row>
    <row r="10" spans="1:42" ht="21" hidden="1" customHeight="1">
      <c r="A10" s="1242"/>
      <c r="B10" s="1242"/>
      <c r="C10" s="1242"/>
      <c r="D10" s="1242"/>
      <c r="E10" s="2222"/>
      <c r="F10" s="2222"/>
      <c r="G10" s="2222"/>
      <c r="H10" s="2222"/>
      <c r="I10" s="2223"/>
      <c r="J10" s="1242"/>
      <c r="K10" s="1242"/>
      <c r="L10" s="1243"/>
      <c r="P10" s="2143"/>
      <c r="Q10" s="1341"/>
      <c r="R10" s="280"/>
      <c r="S10" s="1159"/>
      <c r="T10" s="291" t="s">
        <v>1478</v>
      </c>
      <c r="U10" s="294"/>
      <c r="V10" s="294"/>
      <c r="W10" s="294"/>
      <c r="X10" s="294"/>
      <c r="Y10" s="294"/>
      <c r="Z10" s="294"/>
      <c r="AA10" s="294"/>
      <c r="AB10" s="293"/>
      <c r="AC10" s="294"/>
      <c r="AD10" s="294"/>
      <c r="AE10" s="294"/>
      <c r="AF10" s="294"/>
      <c r="AG10" s="294"/>
      <c r="AH10" s="294"/>
      <c r="AI10" s="293"/>
      <c r="AJ10" s="294"/>
      <c r="AK10" s="1305"/>
      <c r="AM10" s="428"/>
      <c r="AN10" s="428" t="str">
        <f t="shared" si="0"/>
        <v>Добавить группу потребителей</v>
      </c>
      <c r="AO10" s="428"/>
      <c r="AP10" s="428"/>
    </row>
    <row r="11" spans="1:42" ht="21" hidden="1" customHeight="1">
      <c r="A11" s="1242"/>
      <c r="B11" s="1242"/>
      <c r="C11" s="1242"/>
      <c r="D11" s="1242"/>
      <c r="E11" s="2222"/>
      <c r="F11" s="2222"/>
      <c r="G11" s="2222"/>
      <c r="H11" s="2221"/>
      <c r="I11" s="1242"/>
      <c r="J11" s="1242"/>
      <c r="K11" s="1242"/>
      <c r="L11" s="1243"/>
      <c r="M11" s="1244"/>
      <c r="N11" s="1244"/>
      <c r="O11" s="464"/>
      <c r="P11" s="284"/>
      <c r="Q11" s="303"/>
      <c r="R11" s="279"/>
      <c r="S11" s="1159"/>
      <c r="T11" s="299" t="s">
        <v>1685</v>
      </c>
      <c r="U11" s="294"/>
      <c r="V11" s="294"/>
      <c r="W11" s="294"/>
      <c r="X11" s="294"/>
      <c r="Y11" s="294"/>
      <c r="Z11" s="294"/>
      <c r="AA11" s="294"/>
      <c r="AB11" s="293"/>
      <c r="AC11" s="294"/>
      <c r="AD11" s="294"/>
      <c r="AE11" s="294"/>
      <c r="AF11" s="294"/>
      <c r="AG11" s="294"/>
      <c r="AH11" s="294"/>
      <c r="AI11" s="293"/>
      <c r="AJ11" s="294"/>
      <c r="AK11" s="221"/>
      <c r="AM11" s="428"/>
      <c r="AN11" s="428" t="str">
        <f t="shared" si="0"/>
        <v>Добавить наименование признака дифференциации</v>
      </c>
      <c r="AO11" s="428"/>
      <c r="AP11" s="428"/>
    </row>
    <row r="12" spans="1:42" s="1755" customFormat="1" ht="0.75" hidden="1" customHeight="1">
      <c r="A12" s="1226"/>
      <c r="B12" s="1226"/>
      <c r="C12" s="1198"/>
      <c r="D12" s="1198"/>
      <c r="E12" s="2222"/>
      <c r="F12" s="2221"/>
      <c r="G12" s="1198"/>
      <c r="H12" s="1198"/>
      <c r="I12" s="1198"/>
      <c r="J12" s="1198"/>
      <c r="K12" s="1198"/>
      <c r="L12" s="1354"/>
      <c r="M12" s="1205"/>
      <c r="N12" s="1205"/>
      <c r="P12" s="1200"/>
      <c r="Q12" s="1201"/>
      <c r="R12" s="1200"/>
      <c r="S12" s="1206"/>
      <c r="T12" s="1209" t="s">
        <v>1439</v>
      </c>
      <c r="U12" s="1208"/>
      <c r="V12" s="1208"/>
      <c r="W12" s="1208"/>
      <c r="X12" s="1208"/>
      <c r="Y12" s="1208"/>
      <c r="Z12" s="1208"/>
      <c r="AA12" s="1208"/>
      <c r="AB12" s="1208"/>
      <c r="AC12" s="1208"/>
      <c r="AD12" s="1208"/>
      <c r="AE12" s="1208"/>
      <c r="AF12" s="1208"/>
      <c r="AG12" s="1208"/>
      <c r="AH12" s="1208"/>
      <c r="AI12" s="1208"/>
      <c r="AJ12" s="1208"/>
      <c r="AK12" s="1208"/>
      <c r="AM12" s="695"/>
      <c r="AN12" s="695" t="str">
        <f t="shared" si="0"/>
        <v>Добавить централизованную систему для дифференциации</v>
      </c>
      <c r="AO12" s="695"/>
      <c r="AP12" s="695"/>
    </row>
    <row r="13" spans="1:42" s="1755" customFormat="1" ht="0.75" hidden="1" customHeight="1">
      <c r="A13" s="1226"/>
      <c r="B13" s="1226"/>
      <c r="C13" s="1226"/>
      <c r="D13" s="1226"/>
      <c r="E13" s="2221"/>
      <c r="F13" s="1226"/>
      <c r="G13" s="1226"/>
      <c r="H13" s="1226"/>
      <c r="I13" s="1226"/>
      <c r="J13" s="1226"/>
      <c r="K13" s="1226"/>
      <c r="L13" s="1229"/>
      <c r="M13" s="1205"/>
      <c r="N13" s="1205"/>
      <c r="O13" s="446"/>
      <c r="P13" s="311"/>
      <c r="Q13" s="1227"/>
      <c r="R13" s="311"/>
      <c r="S13" s="1206"/>
      <c r="T13" s="1209" t="s">
        <v>1440</v>
      </c>
      <c r="U13" s="1208"/>
      <c r="V13" s="1208"/>
      <c r="W13" s="1208"/>
      <c r="X13" s="1208"/>
      <c r="Y13" s="1208"/>
      <c r="Z13" s="1208"/>
      <c r="AA13" s="1208"/>
      <c r="AB13" s="1208"/>
      <c r="AC13" s="1208"/>
      <c r="AD13" s="1208"/>
      <c r="AE13" s="1208"/>
      <c r="AF13" s="1208"/>
      <c r="AG13" s="1208"/>
      <c r="AH13" s="1208"/>
      <c r="AI13" s="1208"/>
      <c r="AJ13" s="1208"/>
      <c r="AK13" s="1208"/>
      <c r="AM13" s="428"/>
      <c r="AN13" s="428" t="str">
        <f t="shared" si="0"/>
        <v>Добавить территорию для дифференциации</v>
      </c>
      <c r="AO13" s="428"/>
      <c r="AP13" s="428"/>
    </row>
    <row r="14" spans="1:42" ht="14.25" hidden="1" customHeight="1">
      <c r="AB14" s="254"/>
      <c r="AI14" s="254"/>
    </row>
    <row r="15" spans="1:42" ht="14.25" hidden="1" customHeight="1">
      <c r="AC15" s="1668"/>
      <c r="AD15" s="1668"/>
      <c r="AE15" s="1669"/>
      <c r="AF15" s="2219"/>
      <c r="AG15" s="2218" t="s">
        <v>62</v>
      </c>
      <c r="AH15" s="2219"/>
      <c r="AI15" s="2218" t="s">
        <v>62</v>
      </c>
    </row>
    <row r="16" spans="1:42" ht="14.25" hidden="1" customHeight="1">
      <c r="AC16" s="1668"/>
      <c r="AD16" s="1668"/>
      <c r="AE16" s="1667" t="str">
        <f>AF15&amp;"-"&amp;AH15</f>
        <v>-</v>
      </c>
      <c r="AF16" s="2218"/>
      <c r="AG16" s="2218"/>
      <c r="AH16" s="2218"/>
      <c r="AI16" s="2218"/>
    </row>
    <row r="17" spans="1:42" ht="14.25" hidden="1" customHeight="1">
      <c r="AI17" s="254"/>
    </row>
    <row r="18" spans="1:42" s="1742" customFormat="1" ht="14.25" hidden="1" customHeight="1">
      <c r="L18" s="1338"/>
      <c r="M18" s="1241"/>
      <c r="N18" s="1241"/>
      <c r="O18" s="1246" t="s">
        <v>1480</v>
      </c>
      <c r="P18" s="1241"/>
      <c r="Q18" s="1250"/>
      <c r="R18" s="1250"/>
      <c r="S18" s="643"/>
      <c r="Y18" s="1246"/>
      <c r="AA18" s="1246"/>
      <c r="AB18" s="1245"/>
      <c r="AF18" s="1246"/>
      <c r="AH18" s="1246"/>
      <c r="AI18" s="1245"/>
      <c r="AL18" s="439"/>
      <c r="AM18" s="439"/>
      <c r="AN18" s="439"/>
      <c r="AO18" s="439"/>
      <c r="AP18" s="439"/>
    </row>
    <row r="19" spans="1:42" s="1742" customFormat="1" ht="14.25" hidden="1" customHeight="1">
      <c r="L19" s="1338"/>
      <c r="M19" s="1241"/>
      <c r="N19" s="1241"/>
      <c r="O19" s="1241"/>
      <c r="P19" s="1241"/>
      <c r="Q19" s="1250"/>
      <c r="R19" s="1250"/>
      <c r="S19" s="643"/>
      <c r="AB19" s="1245"/>
      <c r="AI19" s="1245"/>
      <c r="AL19" s="439"/>
      <c r="AM19" s="439"/>
      <c r="AN19" s="439"/>
      <c r="AO19" s="439"/>
      <c r="AP19" s="439"/>
    </row>
    <row r="20" spans="1:42" s="1742" customFormat="1" ht="12" hidden="1" customHeight="1">
      <c r="L20" s="1338"/>
      <c r="M20" s="1241"/>
      <c r="N20" s="1241"/>
      <c r="O20" s="1243" t="s">
        <v>1481</v>
      </c>
      <c r="P20" s="1241"/>
      <c r="Q20" s="1306"/>
      <c r="R20" s="1306"/>
      <c r="S20" s="643"/>
      <c r="T20" s="1034" t="s">
        <v>1482</v>
      </c>
      <c r="Z20" s="111" t="s">
        <v>1483</v>
      </c>
      <c r="AB20" s="111" t="s">
        <v>1484</v>
      </c>
      <c r="AC20" s="1034" t="s">
        <v>1482</v>
      </c>
      <c r="AG20" s="111" t="s">
        <v>1485</v>
      </c>
      <c r="AI20" s="111" t="s">
        <v>1484</v>
      </c>
    </row>
    <row r="21" spans="1:42" ht="14.25" hidden="1" customHeight="1">
      <c r="O21" s="1243"/>
    </row>
    <row r="22" spans="1:42" ht="14.25" hidden="1" customHeight="1">
      <c r="O22" s="1243"/>
    </row>
    <row r="23" spans="1:42" ht="14.25" customHeight="1">
      <c r="Q23" s="304"/>
      <c r="R23" s="304"/>
      <c r="S23" s="1156"/>
      <c r="T23" s="289"/>
      <c r="U23" s="289"/>
      <c r="V23" s="437"/>
      <c r="W23" s="437"/>
      <c r="X23" s="437"/>
      <c r="Y23" s="437"/>
      <c r="Z23" s="437"/>
      <c r="AA23" s="437"/>
      <c r="AB23" s="437"/>
      <c r="AC23" s="437"/>
      <c r="AD23" s="437"/>
      <c r="AE23" s="437"/>
      <c r="AF23" s="437"/>
      <c r="AG23" s="437"/>
      <c r="AH23" s="437"/>
      <c r="AI23" s="437"/>
    </row>
    <row r="24" spans="1:42" ht="32.25" customHeight="1">
      <c r="Q24" s="304"/>
      <c r="R24" s="304"/>
      <c r="S24" s="2065" t="str">
        <f>IF(TEMPLATE_GROUP="P",PT_P_FORM_HOTVSNA_4_NAME_FORM,PT_R_FORM_HOTVSNA_16_NAME_FORM)</f>
        <v>Форма 16. Информация о предложении расчетной величины тарифов организации горячего водоснабжения об установлении тарифов в сфере горячего водоснабжения на очередной период регулирования &lt;1&gt;</v>
      </c>
      <c r="T24" s="2065"/>
      <c r="U24" s="2065"/>
      <c r="V24" s="2065"/>
      <c r="W24" s="2065"/>
      <c r="X24" s="2065"/>
      <c r="Y24" s="2065"/>
      <c r="Z24" s="2065"/>
      <c r="AA24" s="2065"/>
      <c r="AB24" s="2065"/>
      <c r="AC24" s="2065"/>
      <c r="AD24" s="2065"/>
      <c r="AE24" s="2065"/>
      <c r="AF24" s="2065"/>
      <c r="AG24" s="2065"/>
      <c r="AH24" s="2065"/>
      <c r="AI24" s="1114"/>
    </row>
    <row r="25" spans="1:42" ht="14.25" customHeight="1">
      <c r="Q25" s="304"/>
      <c r="R25" s="304"/>
      <c r="S25" s="2088" t="str">
        <f>IF(org=0,"Не определено",org)</f>
        <v>МУП г. Астрахани "Коммунэнерго"</v>
      </c>
      <c r="T25" s="2088"/>
      <c r="U25" s="2088"/>
      <c r="V25" s="2088"/>
      <c r="W25" s="2088"/>
      <c r="X25" s="2088"/>
      <c r="Y25" s="2088"/>
      <c r="Z25" s="2088"/>
      <c r="AA25" s="2088"/>
      <c r="AB25" s="2088"/>
      <c r="AC25" s="2088"/>
      <c r="AD25" s="2088"/>
      <c r="AE25" s="2088"/>
      <c r="AF25" s="2088"/>
      <c r="AG25" s="2088"/>
      <c r="AH25" s="2088"/>
      <c r="AI25" s="1114"/>
    </row>
    <row r="26" spans="1:42" ht="14.25" hidden="1" customHeight="1">
      <c r="Q26" s="304"/>
      <c r="R26" s="304"/>
      <c r="S26" s="1156"/>
      <c r="T26" s="289"/>
      <c r="U26" s="289"/>
      <c r="V26" s="248"/>
      <c r="W26" s="248"/>
      <c r="X26" s="248"/>
      <c r="Y26" s="248"/>
      <c r="Z26" s="248"/>
      <c r="AA26" s="248"/>
      <c r="AB26" s="248"/>
      <c r="AC26" s="248"/>
      <c r="AD26" s="248"/>
      <c r="AE26" s="248"/>
      <c r="AF26" s="248"/>
      <c r="AG26" s="248"/>
      <c r="AH26" s="248"/>
      <c r="AI26" s="248"/>
      <c r="AJ26" s="437"/>
    </row>
    <row r="27" spans="1:42" s="1933" customFormat="1" ht="25.5" hidden="1" customHeight="1">
      <c r="A27" s="1247"/>
      <c r="B27" s="1247"/>
      <c r="C27" s="1247"/>
      <c r="D27" s="1247"/>
      <c r="E27" s="1247"/>
      <c r="F27" s="1247"/>
      <c r="G27" s="1247"/>
      <c r="H27" s="1247"/>
      <c r="I27" s="1247"/>
      <c r="J27" s="1247"/>
      <c r="K27" s="1247"/>
      <c r="L27" s="1248"/>
      <c r="M27" s="1247"/>
      <c r="N27" s="1247"/>
      <c r="O27" s="1247"/>
      <c r="S27" s="2213" t="s">
        <v>38</v>
      </c>
      <c r="T27" s="2213"/>
      <c r="U27" s="1251"/>
      <c r="V27" s="2214" t="str">
        <f>IF(TITLE_NAME_OR_PR_CHANGE="",IF(TITLE_NAME_OR_PR="","",TITLE_NAME_OR_PR),TITLE_NAME_OR_PR_CHANGE)</f>
        <v/>
      </c>
      <c r="W27" s="2214"/>
      <c r="X27" s="2214"/>
      <c r="Y27" s="2214"/>
      <c r="Z27" s="2214"/>
      <c r="AA27" s="2214"/>
      <c r="AB27" s="253"/>
      <c r="AC27" s="2214" t="str">
        <f>IF(TITLE_NAME_OR_PR_CHANGE="",IF(TITLE_NAME_OR_PR="","",TITLE_NAME_OR_PR),TITLE_NAME_OR_PR_CHANGE)</f>
        <v/>
      </c>
      <c r="AD27" s="2214"/>
      <c r="AE27" s="2214"/>
      <c r="AF27" s="2214"/>
      <c r="AG27" s="2214"/>
      <c r="AH27" s="2214"/>
      <c r="AI27" s="253"/>
      <c r="AJ27" s="253"/>
      <c r="AK27" s="199"/>
      <c r="AL27" s="295"/>
      <c r="AM27" s="295"/>
      <c r="AN27" s="295"/>
      <c r="AO27" s="295"/>
      <c r="AP27" s="295"/>
    </row>
    <row r="28" spans="1:42" s="1933" customFormat="1" ht="18.75" hidden="1" customHeight="1">
      <c r="A28" s="1247"/>
      <c r="B28" s="1247"/>
      <c r="C28" s="1247"/>
      <c r="D28" s="1247"/>
      <c r="E28" s="1247"/>
      <c r="F28" s="1247"/>
      <c r="G28" s="1247"/>
      <c r="H28" s="1247"/>
      <c r="I28" s="1247"/>
      <c r="J28" s="1247"/>
      <c r="K28" s="1247"/>
      <c r="L28" s="1248"/>
      <c r="M28" s="1247"/>
      <c r="N28" s="1247"/>
      <c r="O28" s="1247"/>
      <c r="S28" s="2213" t="s">
        <v>1486</v>
      </c>
      <c r="T28" s="2213"/>
      <c r="U28" s="1251"/>
      <c r="V28" s="2214" t="str">
        <f>IF(TITLE_DATE_CHANGE_PERIOD="",IF(TITLE_DATE_PR="","",TITLE_DATE_PR),TITLE_DATE_CHANGE_PERIOD)</f>
        <v/>
      </c>
      <c r="W28" s="2214"/>
      <c r="X28" s="2214"/>
      <c r="Y28" s="2214"/>
      <c r="Z28" s="2214"/>
      <c r="AA28" s="2214"/>
      <c r="AB28" s="253"/>
      <c r="AC28" s="2214" t="str">
        <f>IF(TITLE_DATE_CHANGE_PERIOD="",IF(TITLE_DATE_PR="","",TITLE_DATE_PR),TITLE_DATE_CHANGE_PERIOD)</f>
        <v/>
      </c>
      <c r="AD28" s="2214"/>
      <c r="AE28" s="2214"/>
      <c r="AF28" s="2214"/>
      <c r="AG28" s="2214"/>
      <c r="AH28" s="2214"/>
      <c r="AI28" s="253"/>
      <c r="AJ28" s="253"/>
      <c r="AK28" s="199"/>
      <c r="AL28" s="295"/>
      <c r="AM28" s="295"/>
      <c r="AN28" s="295"/>
      <c r="AO28" s="295"/>
      <c r="AP28" s="295"/>
    </row>
    <row r="29" spans="1:42" s="1933" customFormat="1" ht="18.75" hidden="1" customHeight="1">
      <c r="A29" s="1247"/>
      <c r="B29" s="1247"/>
      <c r="C29" s="1247"/>
      <c r="D29" s="1247"/>
      <c r="E29" s="1247"/>
      <c r="F29" s="1247"/>
      <c r="G29" s="1247"/>
      <c r="H29" s="1247"/>
      <c r="I29" s="1247"/>
      <c r="J29" s="1247"/>
      <c r="K29" s="1247"/>
      <c r="L29" s="1248"/>
      <c r="M29" s="1247"/>
      <c r="N29" s="1247"/>
      <c r="O29" s="1247"/>
      <c r="S29" s="2213" t="s">
        <v>1487</v>
      </c>
      <c r="T29" s="2213"/>
      <c r="U29" s="1251"/>
      <c r="V29" s="2214" t="str">
        <f>IF(TITLE_NUMBER_PR_CHANGE="",IF(TITLE_NUMBER_PR="","",TITLE_NUMBER_PR),TITLE_NUMBER_PR_CHANGE)</f>
        <v/>
      </c>
      <c r="W29" s="2214"/>
      <c r="X29" s="2214"/>
      <c r="Y29" s="2214"/>
      <c r="Z29" s="2214"/>
      <c r="AA29" s="2214"/>
      <c r="AB29" s="253"/>
      <c r="AC29" s="2214" t="str">
        <f>IF(TITLE_NUMBER_PR_CHANGE="",IF(TITLE_NUMBER_PR="","",TITLE_NUMBER_PR),TITLE_NUMBER_PR_CHANGE)</f>
        <v/>
      </c>
      <c r="AD29" s="2214"/>
      <c r="AE29" s="2214"/>
      <c r="AF29" s="2214"/>
      <c r="AG29" s="2214"/>
      <c r="AH29" s="2214"/>
      <c r="AI29" s="253"/>
      <c r="AJ29" s="253"/>
      <c r="AK29" s="199"/>
      <c r="AL29" s="295"/>
      <c r="AM29" s="295"/>
      <c r="AN29" s="295"/>
      <c r="AO29" s="295"/>
      <c r="AP29" s="295"/>
    </row>
    <row r="30" spans="1:42" s="1933" customFormat="1" ht="18.75" hidden="1" customHeight="1">
      <c r="A30" s="1247"/>
      <c r="B30" s="1247"/>
      <c r="C30" s="1247"/>
      <c r="D30" s="1247"/>
      <c r="E30" s="1247"/>
      <c r="F30" s="1247"/>
      <c r="G30" s="1247"/>
      <c r="H30" s="1247"/>
      <c r="I30" s="1247"/>
      <c r="J30" s="1247"/>
      <c r="K30" s="1247"/>
      <c r="L30" s="1248"/>
      <c r="M30" s="1247"/>
      <c r="N30" s="1247"/>
      <c r="O30" s="1247"/>
      <c r="S30" s="2213" t="s">
        <v>39</v>
      </c>
      <c r="T30" s="2213"/>
      <c r="U30" s="1251"/>
      <c r="V30" s="2214" t="str">
        <f>IF(TITLE_IST_PUB_CHANGE="",IF(TITLE_IST_PUB="","",TITLE_IST_PUB),TITLE_IST_PUB_CHANGE)</f>
        <v/>
      </c>
      <c r="W30" s="2214"/>
      <c r="X30" s="2214"/>
      <c r="Y30" s="2214"/>
      <c r="Z30" s="2214"/>
      <c r="AA30" s="2214"/>
      <c r="AB30" s="253"/>
      <c r="AC30" s="2214" t="str">
        <f>IF(TITLE_IST_PUB_CHANGE="",IF(TITLE_IST_PUB="","",TITLE_IST_PUB),TITLE_IST_PUB_CHANGE)</f>
        <v/>
      </c>
      <c r="AD30" s="2214"/>
      <c r="AE30" s="2214"/>
      <c r="AF30" s="2214"/>
      <c r="AG30" s="2214"/>
      <c r="AH30" s="2214"/>
      <c r="AI30" s="253"/>
      <c r="AJ30" s="253"/>
      <c r="AK30" s="199"/>
      <c r="AL30" s="295"/>
      <c r="AM30" s="295"/>
      <c r="AN30" s="295"/>
      <c r="AO30" s="295"/>
      <c r="AP30" s="295"/>
    </row>
    <row r="31" spans="1:42" ht="14.25" hidden="1" customHeight="1">
      <c r="Q31" s="304"/>
      <c r="R31" s="304"/>
      <c r="S31" s="1156"/>
      <c r="T31" s="289"/>
      <c r="U31" s="289"/>
      <c r="V31" s="248"/>
      <c r="W31" s="248"/>
      <c r="X31" s="248"/>
      <c r="Y31" s="248"/>
      <c r="Z31" s="248"/>
      <c r="AA31" s="248"/>
      <c r="AB31" s="248"/>
      <c r="AC31" s="248"/>
      <c r="AD31" s="248"/>
      <c r="AE31" s="248"/>
      <c r="AF31" s="248"/>
      <c r="AG31" s="248"/>
      <c r="AH31" s="248"/>
      <c r="AI31" s="248"/>
      <c r="AJ31" s="437"/>
    </row>
    <row r="32" spans="1:42" s="1933" customFormat="1" ht="18.75" hidden="1" customHeight="1">
      <c r="A32" s="1247"/>
      <c r="B32" s="1247"/>
      <c r="C32" s="1247"/>
      <c r="D32" s="1247"/>
      <c r="E32" s="1247"/>
      <c r="F32" s="1247"/>
      <c r="G32" s="1247"/>
      <c r="H32" s="1247"/>
      <c r="I32" s="1247"/>
      <c r="J32" s="1247"/>
      <c r="K32" s="1247"/>
      <c r="L32" s="1248"/>
      <c r="M32" s="1247"/>
      <c r="N32" s="1247"/>
      <c r="O32" s="1247"/>
      <c r="S32" s="2213" t="s">
        <v>1488</v>
      </c>
      <c r="T32" s="2213"/>
      <c r="U32" s="1251"/>
      <c r="V32" s="2214" t="str">
        <f>IF(TITLE_DATE_CHANGE_PERIOD="",IF(TITLE_DATE_PR="","",TITLE_DATE_PR),TITLE_DATE_CHANGE_PERIOD)</f>
        <v/>
      </c>
      <c r="W32" s="2214"/>
      <c r="X32" s="2214"/>
      <c r="Y32" s="2214"/>
      <c r="Z32" s="2214"/>
      <c r="AA32" s="2214"/>
      <c r="AB32" s="253"/>
      <c r="AC32" s="2214" t="str">
        <f>IF(TITLE_DATE_CHANGE_PERIOD="",IF(TITLE_DATE_PR="","",TITLE_DATE_PR),TITLE_DATE_CHANGE_PERIOD)</f>
        <v/>
      </c>
      <c r="AD32" s="2214"/>
      <c r="AE32" s="2214"/>
      <c r="AF32" s="2214"/>
      <c r="AG32" s="2214"/>
      <c r="AH32" s="2214"/>
      <c r="AI32" s="253"/>
      <c r="AJ32" s="253"/>
      <c r="AK32" s="199"/>
      <c r="AL32" s="295"/>
      <c r="AM32" s="295"/>
      <c r="AN32" s="295"/>
      <c r="AO32" s="295"/>
      <c r="AP32" s="295"/>
    </row>
    <row r="33" spans="1:42" s="1933" customFormat="1" ht="18.75" hidden="1" customHeight="1">
      <c r="A33" s="1247"/>
      <c r="B33" s="1247"/>
      <c r="C33" s="1247"/>
      <c r="D33" s="1247"/>
      <c r="E33" s="1247"/>
      <c r="F33" s="1247"/>
      <c r="G33" s="1247"/>
      <c r="H33" s="1247"/>
      <c r="I33" s="1247"/>
      <c r="J33" s="1247"/>
      <c r="K33" s="1247"/>
      <c r="L33" s="1248"/>
      <c r="M33" s="1247"/>
      <c r="N33" s="1247"/>
      <c r="O33" s="1247"/>
      <c r="S33" s="2213" t="s">
        <v>1489</v>
      </c>
      <c r="T33" s="2213"/>
      <c r="U33" s="1251"/>
      <c r="V33" s="2214" t="str">
        <f>IF(TITLE_NUMBER_PR_CHANGE="",IF(TITLE_NUMBER_PR="","",TITLE_NUMBER_PR),TITLE_NUMBER_PR_CHANGE)</f>
        <v/>
      </c>
      <c r="W33" s="2214"/>
      <c r="X33" s="2214"/>
      <c r="Y33" s="2214"/>
      <c r="Z33" s="2214"/>
      <c r="AA33" s="2214"/>
      <c r="AB33" s="253"/>
      <c r="AC33" s="2214" t="str">
        <f>IF(TITLE_NUMBER_PR_CHANGE="",IF(TITLE_NUMBER_PR="","",TITLE_NUMBER_PR),TITLE_NUMBER_PR_CHANGE)</f>
        <v/>
      </c>
      <c r="AD33" s="2214"/>
      <c r="AE33" s="2214"/>
      <c r="AF33" s="2214"/>
      <c r="AG33" s="2214"/>
      <c r="AH33" s="2214"/>
      <c r="AI33" s="253"/>
      <c r="AJ33" s="253"/>
      <c r="AK33" s="199"/>
      <c r="AL33" s="295"/>
      <c r="AM33" s="295"/>
      <c r="AN33" s="295"/>
      <c r="AO33" s="295"/>
      <c r="AP33" s="295"/>
    </row>
    <row r="34" spans="1:42" s="1933" customFormat="1" ht="0.75" customHeight="1">
      <c r="A34" s="1247"/>
      <c r="B34" s="1247"/>
      <c r="C34" s="1247"/>
      <c r="D34" s="1247"/>
      <c r="E34" s="1247"/>
      <c r="F34" s="1247"/>
      <c r="G34" s="1247"/>
      <c r="H34" s="1247"/>
      <c r="I34" s="1247"/>
      <c r="J34" s="1247"/>
      <c r="K34" s="1247"/>
      <c r="L34" s="1248"/>
      <c r="M34" s="1247"/>
      <c r="N34" s="1247"/>
      <c r="O34" s="1247"/>
      <c r="S34" s="250"/>
      <c r="T34" s="250"/>
      <c r="U34" s="1348"/>
      <c r="V34" s="253"/>
      <c r="W34" s="253"/>
      <c r="X34" s="253"/>
      <c r="Y34" s="253"/>
      <c r="Z34" s="253"/>
      <c r="AA34" s="253"/>
      <c r="AB34" s="197" t="s">
        <v>1490</v>
      </c>
      <c r="AC34" s="253"/>
      <c r="AD34" s="253"/>
      <c r="AE34" s="253"/>
      <c r="AF34" s="253"/>
      <c r="AG34" s="253"/>
      <c r="AH34" s="253"/>
      <c r="AI34" s="197" t="s">
        <v>1490</v>
      </c>
      <c r="AL34" s="295"/>
      <c r="AM34" s="295"/>
      <c r="AN34" s="295"/>
      <c r="AO34" s="295"/>
      <c r="AP34" s="295"/>
    </row>
    <row r="35" spans="1:42" ht="14.25" customHeight="1">
      <c r="Q35" s="304"/>
      <c r="R35" s="304"/>
      <c r="S35" s="1156"/>
      <c r="T35" s="289"/>
      <c r="U35" s="1115"/>
      <c r="V35" s="2232"/>
      <c r="W35" s="2232"/>
      <c r="X35" s="2232"/>
      <c r="Y35" s="2232"/>
      <c r="Z35" s="2232"/>
      <c r="AA35" s="2232"/>
      <c r="AB35" s="2232"/>
      <c r="AC35" s="2232"/>
      <c r="AD35" s="2232"/>
      <c r="AE35" s="2232"/>
      <c r="AF35" s="2232"/>
      <c r="AG35" s="2232"/>
      <c r="AH35" s="2232"/>
      <c r="AI35" s="2232"/>
    </row>
    <row r="36" spans="1:42" ht="14.25" customHeight="1">
      <c r="Q36" s="304"/>
      <c r="R36" s="304"/>
      <c r="S36" s="2007" t="s">
        <v>292</v>
      </c>
      <c r="T36" s="2007"/>
      <c r="U36" s="2007"/>
      <c r="V36" s="2007"/>
      <c r="W36" s="2007"/>
      <c r="X36" s="2007"/>
      <c r="Y36" s="2007"/>
      <c r="Z36" s="2007"/>
      <c r="AA36" s="2007"/>
      <c r="AB36" s="2007"/>
      <c r="AC36" s="2007"/>
      <c r="AD36" s="2007"/>
      <c r="AE36" s="2007"/>
      <c r="AF36" s="2007"/>
      <c r="AG36" s="2007"/>
      <c r="AH36" s="2007"/>
      <c r="AI36" s="2007"/>
      <c r="AJ36" s="2007"/>
      <c r="AK36" s="2007" t="s">
        <v>293</v>
      </c>
    </row>
    <row r="37" spans="1:42" ht="14.25" customHeight="1">
      <c r="Q37" s="304"/>
      <c r="R37" s="304"/>
      <c r="S37" s="2233" t="s">
        <v>87</v>
      </c>
      <c r="T37" s="2097" t="s">
        <v>1491</v>
      </c>
      <c r="U37" s="219"/>
      <c r="V37" s="2234" t="s">
        <v>1492</v>
      </c>
      <c r="W37" s="2235"/>
      <c r="X37" s="2235"/>
      <c r="Y37" s="2235"/>
      <c r="Z37" s="2235"/>
      <c r="AA37" s="2236"/>
      <c r="AB37" s="2237" t="s">
        <v>1493</v>
      </c>
      <c r="AC37" s="2234" t="s">
        <v>1492</v>
      </c>
      <c r="AD37" s="2235"/>
      <c r="AE37" s="2235"/>
      <c r="AF37" s="2235"/>
      <c r="AG37" s="2235"/>
      <c r="AH37" s="2236"/>
      <c r="AI37" s="2237" t="s">
        <v>1494</v>
      </c>
      <c r="AJ37" s="2240" t="s">
        <v>1495</v>
      </c>
      <c r="AK37" s="2007"/>
    </row>
    <row r="38" spans="1:42" ht="33.75" customHeight="1">
      <c r="Q38" s="304"/>
      <c r="R38" s="304"/>
      <c r="S38" s="2233"/>
      <c r="T38" s="2097"/>
      <c r="U38" s="924"/>
      <c r="V38" s="1343" t="s">
        <v>2091</v>
      </c>
      <c r="W38" s="1989" t="s">
        <v>2092</v>
      </c>
      <c r="X38" s="1988"/>
      <c r="Y38" s="1989" t="s">
        <v>1499</v>
      </c>
      <c r="Z38" s="1994"/>
      <c r="AA38" s="1988"/>
      <c r="AB38" s="2238"/>
      <c r="AC38" s="1343" t="s">
        <v>2091</v>
      </c>
      <c r="AD38" s="1989" t="s">
        <v>2092</v>
      </c>
      <c r="AE38" s="1988"/>
      <c r="AF38" s="1989" t="s">
        <v>1499</v>
      </c>
      <c r="AG38" s="1994"/>
      <c r="AH38" s="1988"/>
      <c r="AI38" s="2238"/>
      <c r="AJ38" s="2241"/>
      <c r="AK38" s="2007"/>
    </row>
    <row r="39" spans="1:42" ht="86.25" customHeight="1">
      <c r="A39" s="1249"/>
      <c r="B39" s="1249" t="s">
        <v>136</v>
      </c>
      <c r="C39" s="1249" t="s">
        <v>137</v>
      </c>
      <c r="D39" s="1249" t="s">
        <v>138</v>
      </c>
      <c r="E39" s="1243" t="s">
        <v>1500</v>
      </c>
      <c r="F39" s="1243" t="s">
        <v>1501</v>
      </c>
      <c r="G39" s="1243" t="s">
        <v>1502</v>
      </c>
      <c r="H39" s="1243"/>
      <c r="I39" s="1243" t="s">
        <v>1687</v>
      </c>
      <c r="J39" s="1243" t="s">
        <v>1505</v>
      </c>
      <c r="K39" s="1243" t="s">
        <v>1688</v>
      </c>
      <c r="L39" s="1243" t="s">
        <v>1481</v>
      </c>
      <c r="Q39" s="304"/>
      <c r="R39" s="304"/>
      <c r="S39" s="2233"/>
      <c r="T39" s="2097"/>
      <c r="U39" s="220"/>
      <c r="V39" s="1343" t="s">
        <v>2093</v>
      </c>
      <c r="W39" s="1090" t="s">
        <v>2094</v>
      </c>
      <c r="X39" s="1090" t="s">
        <v>2095</v>
      </c>
      <c r="Y39" s="1349" t="s">
        <v>1509</v>
      </c>
      <c r="Z39" s="2103" t="s">
        <v>1510</v>
      </c>
      <c r="AA39" s="2117"/>
      <c r="AB39" s="2239"/>
      <c r="AC39" s="1343" t="s">
        <v>2093</v>
      </c>
      <c r="AD39" s="1090" t="s">
        <v>2094</v>
      </c>
      <c r="AE39" s="1090" t="s">
        <v>2095</v>
      </c>
      <c r="AF39" s="1349" t="s">
        <v>1509</v>
      </c>
      <c r="AG39" s="2103" t="s">
        <v>1510</v>
      </c>
      <c r="AH39" s="2117"/>
      <c r="AI39" s="2239"/>
      <c r="AJ39" s="2242"/>
      <c r="AK39" s="2007"/>
    </row>
    <row r="40" spans="1:42" s="1708" customFormat="1" ht="11.25" hidden="1" customHeight="1">
      <c r="A40" s="1249"/>
      <c r="B40" s="1249"/>
      <c r="C40" s="1249"/>
      <c r="D40" s="1249"/>
      <c r="E40" s="1249"/>
      <c r="F40" s="1249"/>
      <c r="G40" s="1249"/>
      <c r="H40" s="1249"/>
      <c r="I40" s="1249"/>
      <c r="J40" s="1249"/>
      <c r="K40" s="1249"/>
      <c r="L40" s="1243"/>
      <c r="M40" s="1241"/>
      <c r="N40" s="1241"/>
      <c r="O40" s="1241"/>
      <c r="P40" s="1117"/>
      <c r="Q40" s="1118"/>
      <c r="R40" s="1133">
        <v>1</v>
      </c>
      <c r="S40" s="1158" t="s">
        <v>108</v>
      </c>
      <c r="T40" s="1134" t="s">
        <v>109</v>
      </c>
      <c r="U40" s="1116" t="str">
        <f ca="1">OFFSET(U40,0,-1)</f>
        <v>2</v>
      </c>
      <c r="V40" s="1342">
        <f ca="1">OFFSET(V40,0,-1)+1</f>
        <v>3</v>
      </c>
      <c r="W40" s="1342">
        <f ca="1">OFFSET(W40,0,-1)+1</f>
        <v>4</v>
      </c>
      <c r="X40" s="1342">
        <f ca="1">OFFSET(X40,0,-1)+1</f>
        <v>5</v>
      </c>
      <c r="Y40" s="1342">
        <f ca="1">OFFSET(Y40,0,-1)+1</f>
        <v>6</v>
      </c>
      <c r="Z40" s="2231">
        <f ca="1">OFFSET(Z40,0,-1)+1</f>
        <v>7</v>
      </c>
      <c r="AA40" s="2231"/>
      <c r="AB40" s="1342">
        <f ca="1">OFFSET(AB40,0,-2)+1</f>
        <v>8</v>
      </c>
      <c r="AC40" s="1342">
        <f ca="1">OFFSET(AC40,0,-1)+1</f>
        <v>9</v>
      </c>
      <c r="AD40" s="1342">
        <f ca="1">OFFSET(AD40,0,-1)+1</f>
        <v>10</v>
      </c>
      <c r="AE40" s="1342">
        <f ca="1">OFFSET(AE40,0,-1)+1</f>
        <v>11</v>
      </c>
      <c r="AF40" s="1342">
        <f ca="1">OFFSET(AF40,0,-1)+1</f>
        <v>12</v>
      </c>
      <c r="AG40" s="2231">
        <f ca="1">OFFSET(AG40,0,-1)+1</f>
        <v>13</v>
      </c>
      <c r="AH40" s="2231"/>
      <c r="AI40" s="1342">
        <f ca="1">OFFSET(AI40,0,-2)+1</f>
        <v>14</v>
      </c>
      <c r="AJ40" s="1116">
        <f ca="1">OFFSET(AJ40,0,-1)</f>
        <v>14</v>
      </c>
      <c r="AK40" s="1342">
        <f ca="1">OFFSET(AK40,0,-1)+1</f>
        <v>15</v>
      </c>
      <c r="AL40" s="439"/>
      <c r="AM40" s="439"/>
      <c r="AN40" s="439"/>
      <c r="AO40" s="439"/>
      <c r="AP40" s="439"/>
    </row>
    <row r="41" spans="1:42" ht="23.25" customHeight="1">
      <c r="A41" s="1242" t="s">
        <v>243</v>
      </c>
      <c r="B41" s="1242"/>
      <c r="C41" s="1242"/>
      <c r="D41" s="1242"/>
      <c r="E41" s="2221">
        <v>1</v>
      </c>
      <c r="F41" s="1242"/>
      <c r="G41" s="1242"/>
      <c r="H41" s="1242"/>
      <c r="I41" s="1242"/>
      <c r="J41" s="1242"/>
      <c r="K41" s="1242"/>
      <c r="L41" s="1243"/>
      <c r="M41" s="1244"/>
      <c r="N41" s="1244"/>
      <c r="O41" s="1244"/>
      <c r="P41" s="285"/>
      <c r="Q41" s="284"/>
      <c r="R41" s="279"/>
      <c r="S41" s="1353">
        <f>INDEX(PT_DIFFERENTIATION_NUM_NTAR,MATCH(A41,PT_DIFFERENTIATION_NTAR_ID,0))</f>
        <v>0</v>
      </c>
      <c r="T41" s="216" t="s">
        <v>124</v>
      </c>
      <c r="U41" s="218"/>
      <c r="V41" s="2215"/>
      <c r="W41" s="2216"/>
      <c r="X41" s="2216"/>
      <c r="Y41" s="2216"/>
      <c r="Z41" s="2216"/>
      <c r="AA41" s="2216"/>
      <c r="AB41" s="2217"/>
      <c r="AC41" s="2215" t="str">
        <f>INDEX(PT_DIFFERENTIATION_NTAR,MATCH(A41,PT_DIFFERENTIATION_NTAR_ID,0))</f>
        <v/>
      </c>
      <c r="AD41" s="2216"/>
      <c r="AE41" s="2216"/>
      <c r="AF41" s="2216"/>
      <c r="AG41" s="2216"/>
      <c r="AH41" s="2216"/>
      <c r="AI41" s="2216"/>
      <c r="AJ41" s="2217"/>
      <c r="AK41" s="1138"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41" s="428"/>
      <c r="AN41" s="428" t="str">
        <f t="shared" ref="AN41:AN53" si="1">IF(T41="","",T41)</f>
        <v>Наименование тарифа</v>
      </c>
      <c r="AO41" s="428"/>
      <c r="AP41" s="428"/>
    </row>
    <row r="42" spans="1:42" ht="23.25" customHeight="1">
      <c r="A42" s="1242" t="s">
        <v>243</v>
      </c>
      <c r="B42" s="1242" t="s">
        <v>244</v>
      </c>
      <c r="C42" s="1242"/>
      <c r="D42" s="1242"/>
      <c r="E42" s="2222"/>
      <c r="F42" s="2221">
        <v>1</v>
      </c>
      <c r="G42" s="1242"/>
      <c r="H42" s="1242"/>
      <c r="I42" s="1242"/>
      <c r="J42" s="1242"/>
      <c r="K42" s="1242"/>
      <c r="L42" s="1243"/>
      <c r="M42" s="1244"/>
      <c r="N42" s="1244"/>
      <c r="O42" s="1244"/>
      <c r="P42" s="1347"/>
      <c r="Q42" s="276"/>
      <c r="R42" s="277"/>
      <c r="S42" s="1353" t="str">
        <f>INDEX(PT_DIFFERENTIATION_NUM_TER,MATCH(B42,PT_DIFFERENTIATION_TER_ID,0))</f>
        <v>.</v>
      </c>
      <c r="T42" s="228" t="s">
        <v>1463</v>
      </c>
      <c r="U42" s="218"/>
      <c r="V42" s="2215"/>
      <c r="W42" s="2216"/>
      <c r="X42" s="2216"/>
      <c r="Y42" s="2216"/>
      <c r="Z42" s="2216"/>
      <c r="AA42" s="2216"/>
      <c r="AB42" s="2217"/>
      <c r="AC42" s="2215" t="str">
        <f>INDEX(PT_DIFFERENTIATION_TER,MATCH(B42,PT_DIFFERENTIATION_TER_ID,0))</f>
        <v/>
      </c>
      <c r="AD42" s="2216"/>
      <c r="AE42" s="2216"/>
      <c r="AF42" s="2216"/>
      <c r="AG42" s="2216"/>
      <c r="AH42" s="2216"/>
      <c r="AI42" s="2216"/>
      <c r="AJ42" s="2217"/>
      <c r="AK42" s="1138" t="s">
        <v>1464</v>
      </c>
      <c r="AM42" s="428"/>
      <c r="AN42" s="428" t="str">
        <f t="shared" si="1"/>
        <v>Территория действия тарифа</v>
      </c>
      <c r="AO42" s="428"/>
      <c r="AP42" s="428"/>
    </row>
    <row r="43" spans="1:42" ht="23.25" customHeight="1">
      <c r="A43" s="1242" t="s">
        <v>243</v>
      </c>
      <c r="B43" s="1242" t="s">
        <v>244</v>
      </c>
      <c r="C43" s="1242" t="s">
        <v>245</v>
      </c>
      <c r="D43" s="1242"/>
      <c r="E43" s="2222"/>
      <c r="F43" s="2222"/>
      <c r="G43" s="2221">
        <v>1</v>
      </c>
      <c r="H43" s="1242"/>
      <c r="I43" s="1242"/>
      <c r="J43" s="1242"/>
      <c r="K43" s="1242"/>
      <c r="L43" s="1243"/>
      <c r="M43" s="1244"/>
      <c r="N43" s="1244"/>
      <c r="O43" s="1244"/>
      <c r="P43" s="278"/>
      <c r="Q43" s="276"/>
      <c r="R43" s="277"/>
      <c r="S43" s="1353" t="str">
        <f>INDEX(PT_DIFFERENTIATION_NUM_CS,MATCH(C43,PT_DIFFERENTIATION_CS_ID,0))</f>
        <v>..</v>
      </c>
      <c r="T43" s="229" t="s">
        <v>2089</v>
      </c>
      <c r="U43" s="218"/>
      <c r="V43" s="2215"/>
      <c r="W43" s="2216"/>
      <c r="X43" s="2216"/>
      <c r="Y43" s="2216"/>
      <c r="Z43" s="2216"/>
      <c r="AA43" s="2216"/>
      <c r="AB43" s="2217"/>
      <c r="AC43" s="2215" t="str">
        <f>INDEX(PT_DIFFERENTIATION_CS,MATCH(C43,PT_DIFFERENTIATION_CS_ID,0))</f>
        <v/>
      </c>
      <c r="AD43" s="2216"/>
      <c r="AE43" s="2216"/>
      <c r="AF43" s="2216"/>
      <c r="AG43" s="2216"/>
      <c r="AH43" s="2216"/>
      <c r="AI43" s="2216"/>
      <c r="AJ43" s="2217"/>
      <c r="AK43" s="1138" t="s">
        <v>2090</v>
      </c>
      <c r="AM43" s="428"/>
      <c r="AN43" s="428" t="str">
        <f t="shared" si="1"/>
        <v>Наименование централизованной системы горячего водоснабжения</v>
      </c>
      <c r="AO43" s="428"/>
      <c r="AP43" s="428"/>
    </row>
    <row r="44" spans="1:42" ht="23.25" customHeight="1">
      <c r="A44" s="1242" t="s">
        <v>243</v>
      </c>
      <c r="B44" s="1242" t="s">
        <v>244</v>
      </c>
      <c r="C44" s="1242" t="s">
        <v>245</v>
      </c>
      <c r="D44" s="1242" t="s">
        <v>2096</v>
      </c>
      <c r="E44" s="2222"/>
      <c r="F44" s="2222"/>
      <c r="G44" s="2222"/>
      <c r="H44" s="2222"/>
      <c r="I44" s="2223" t="str">
        <f>S43&amp;".1"</f>
        <v>...1</v>
      </c>
      <c r="J44" s="1242"/>
      <c r="K44" s="1242"/>
      <c r="L44" s="1243"/>
      <c r="P44" s="2143">
        <v>1</v>
      </c>
      <c r="Q44" s="1341"/>
      <c r="R44" s="280"/>
      <c r="S44" s="1353" t="str">
        <f>$I44</f>
        <v>...1</v>
      </c>
      <c r="T44" s="203" t="s">
        <v>1680</v>
      </c>
      <c r="U44" s="218"/>
      <c r="V44" s="2313"/>
      <c r="W44" s="2314"/>
      <c r="X44" s="2314"/>
      <c r="Y44" s="2314"/>
      <c r="Z44" s="2314"/>
      <c r="AA44" s="2314"/>
      <c r="AB44" s="2315"/>
      <c r="AC44" s="2316"/>
      <c r="AD44" s="2317"/>
      <c r="AE44" s="2317"/>
      <c r="AF44" s="2317"/>
      <c r="AG44" s="2317"/>
      <c r="AH44" s="2317"/>
      <c r="AI44" s="2317"/>
      <c r="AJ44" s="2318"/>
      <c r="AK44" s="1138" t="s">
        <v>1681</v>
      </c>
      <c r="AM44" s="428"/>
      <c r="AN44" s="428" t="str">
        <f t="shared" si="1"/>
        <v>Наименование признака дифференциации</v>
      </c>
      <c r="AO44" s="428"/>
      <c r="AP44" s="428"/>
    </row>
    <row r="45" spans="1:42" ht="23.25" customHeight="1">
      <c r="A45" s="1242" t="s">
        <v>243</v>
      </c>
      <c r="B45" s="1242" t="s">
        <v>244</v>
      </c>
      <c r="C45" s="1242" t="s">
        <v>245</v>
      </c>
      <c r="D45" s="1242" t="s">
        <v>2096</v>
      </c>
      <c r="E45" s="2222"/>
      <c r="F45" s="2222"/>
      <c r="G45" s="2222"/>
      <c r="H45" s="2222"/>
      <c r="I45" s="2224"/>
      <c r="J45" s="2223" t="str">
        <f>I44&amp;".1"</f>
        <v>...1.1</v>
      </c>
      <c r="K45" s="1242"/>
      <c r="L45" s="1243" t="s">
        <v>1472</v>
      </c>
      <c r="P45" s="2143"/>
      <c r="Q45" s="2143">
        <v>1</v>
      </c>
      <c r="R45" s="281"/>
      <c r="S45" s="1353" t="str">
        <f>$J45</f>
        <v>...1.1</v>
      </c>
      <c r="T45" s="204" t="s">
        <v>1473</v>
      </c>
      <c r="U45" s="218"/>
      <c r="V45" s="2210"/>
      <c r="W45" s="2211"/>
      <c r="X45" s="2211"/>
      <c r="Y45" s="2211"/>
      <c r="Z45" s="2211"/>
      <c r="AA45" s="2211"/>
      <c r="AB45" s="2212"/>
      <c r="AC45" s="2210"/>
      <c r="AD45" s="2211"/>
      <c r="AE45" s="2211"/>
      <c r="AF45" s="2211"/>
      <c r="AG45" s="2211"/>
      <c r="AH45" s="2211"/>
      <c r="AI45" s="2211"/>
      <c r="AJ45" s="2212"/>
      <c r="AK45" s="1192" t="s">
        <v>1682</v>
      </c>
      <c r="AM45" s="428"/>
      <c r="AN45" s="428" t="str">
        <f t="shared" si="1"/>
        <v>Группа потребителей</v>
      </c>
      <c r="AO45" s="428"/>
      <c r="AP45" s="428"/>
    </row>
    <row r="46" spans="1:42" ht="23.25" customHeight="1">
      <c r="A46" s="1242" t="s">
        <v>243</v>
      </c>
      <c r="B46" s="1242" t="s">
        <v>244</v>
      </c>
      <c r="C46" s="1242" t="s">
        <v>245</v>
      </c>
      <c r="D46" s="1242" t="s">
        <v>2096</v>
      </c>
      <c r="E46" s="2222"/>
      <c r="F46" s="2222"/>
      <c r="G46" s="2222"/>
      <c r="H46" s="2222"/>
      <c r="I46" s="2224"/>
      <c r="J46" s="2224"/>
      <c r="K46" s="2223" t="str">
        <f>J45&amp;".1"</f>
        <v>...1.1.1</v>
      </c>
      <c r="L46" s="1243"/>
      <c r="P46" s="2143"/>
      <c r="Q46" s="2143"/>
      <c r="R46" s="281">
        <v>1</v>
      </c>
      <c r="S46" s="1353" t="str">
        <f>$K46</f>
        <v>...1.1.1</v>
      </c>
      <c r="T46" s="1304"/>
      <c r="U46" s="218"/>
      <c r="V46" s="1668"/>
      <c r="W46" s="1668"/>
      <c r="X46" s="1669"/>
      <c r="Y46" s="2219"/>
      <c r="Z46" s="2218" t="s">
        <v>62</v>
      </c>
      <c r="AA46" s="2219"/>
      <c r="AB46" s="2218" t="s">
        <v>62</v>
      </c>
      <c r="AC46" s="1664"/>
      <c r="AD46" s="1664"/>
      <c r="AE46" s="1666"/>
      <c r="AF46" s="2225"/>
      <c r="AG46" s="2017" t="s">
        <v>62</v>
      </c>
      <c r="AH46" s="2227"/>
      <c r="AI46" s="2017" t="s">
        <v>55</v>
      </c>
      <c r="AJ46" s="1703"/>
      <c r="AK46" s="2319"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46" s="439" t="e">
        <f ca="1">STRCHECKDATE(V47:AJ47)</f>
        <v>#NAME?</v>
      </c>
      <c r="AM46" s="428"/>
      <c r="AN46" s="428" t="str">
        <f t="shared" si="1"/>
        <v/>
      </c>
      <c r="AO46" s="428"/>
      <c r="AP46" s="428"/>
    </row>
    <row r="47" spans="1:42" ht="0" hidden="1" customHeight="1">
      <c r="A47" s="1242" t="s">
        <v>243</v>
      </c>
      <c r="B47" s="1242" t="s">
        <v>244</v>
      </c>
      <c r="C47" s="1242" t="s">
        <v>245</v>
      </c>
      <c r="D47" s="1242" t="s">
        <v>2096</v>
      </c>
      <c r="E47" s="2222"/>
      <c r="F47" s="2222"/>
      <c r="G47" s="2222"/>
      <c r="H47" s="2222"/>
      <c r="I47" s="2224"/>
      <c r="J47" s="2224"/>
      <c r="K47" s="2223"/>
      <c r="L47" s="1243"/>
      <c r="P47" s="2143"/>
      <c r="Q47" s="2143"/>
      <c r="R47" s="281"/>
      <c r="S47" s="1350"/>
      <c r="T47" s="218"/>
      <c r="U47" s="218"/>
      <c r="V47" s="1668"/>
      <c r="W47" s="1668"/>
      <c r="X47" s="1667" t="str">
        <f>Y46&amp;"-"&amp;AA46</f>
        <v>-</v>
      </c>
      <c r="Y47" s="2218"/>
      <c r="Z47" s="2218"/>
      <c r="AA47" s="2218"/>
      <c r="AB47" s="2218"/>
      <c r="AC47" s="1665"/>
      <c r="AD47" s="1665"/>
      <c r="AE47" s="1667" t="str">
        <f>AF46&amp;"-"&amp;AH46</f>
        <v>-</v>
      </c>
      <c r="AF47" s="2226"/>
      <c r="AG47" s="2017"/>
      <c r="AH47" s="2228"/>
      <c r="AI47" s="2017"/>
      <c r="AJ47" s="1704"/>
      <c r="AK47" s="2319"/>
      <c r="AM47" s="428"/>
      <c r="AN47" s="428" t="str">
        <f t="shared" si="1"/>
        <v/>
      </c>
      <c r="AO47" s="428"/>
      <c r="AP47" s="428"/>
    </row>
    <row r="48" spans="1:42" ht="21" customHeight="1">
      <c r="A48" s="1242" t="s">
        <v>243</v>
      </c>
      <c r="B48" s="1242" t="s">
        <v>244</v>
      </c>
      <c r="C48" s="1242" t="s">
        <v>245</v>
      </c>
      <c r="D48" s="1242" t="s">
        <v>2096</v>
      </c>
      <c r="E48" s="2222"/>
      <c r="F48" s="2222"/>
      <c r="G48" s="2222"/>
      <c r="H48" s="2222"/>
      <c r="I48" s="2224"/>
      <c r="J48" s="2223"/>
      <c r="K48" s="1242"/>
      <c r="L48" s="1243"/>
      <c r="P48" s="2143"/>
      <c r="Q48" s="2143"/>
      <c r="R48" s="280"/>
      <c r="S48" s="1159"/>
      <c r="T48" s="205" t="s">
        <v>1683</v>
      </c>
      <c r="U48" s="294"/>
      <c r="V48" s="294"/>
      <c r="W48" s="294"/>
      <c r="X48" s="294"/>
      <c r="Y48" s="294"/>
      <c r="Z48" s="294"/>
      <c r="AA48" s="294"/>
      <c r="AB48" s="294"/>
      <c r="AC48" s="294"/>
      <c r="AD48" s="294"/>
      <c r="AE48" s="294"/>
      <c r="AF48" s="294"/>
      <c r="AG48" s="294"/>
      <c r="AH48" s="294"/>
      <c r="AI48" s="294"/>
      <c r="AJ48" s="294"/>
      <c r="AK48" s="1138" t="s">
        <v>1684</v>
      </c>
      <c r="AM48" s="428"/>
      <c r="AN48" s="428" t="str">
        <f t="shared" si="1"/>
        <v>Добавить значение признака дифференциации</v>
      </c>
      <c r="AO48" s="428"/>
      <c r="AP48" s="428"/>
    </row>
    <row r="49" spans="1:42" ht="21" customHeight="1">
      <c r="A49" s="1242" t="s">
        <v>243</v>
      </c>
      <c r="B49" s="1242" t="s">
        <v>244</v>
      </c>
      <c r="C49" s="1242" t="s">
        <v>245</v>
      </c>
      <c r="D49" s="1242" t="s">
        <v>2096</v>
      </c>
      <c r="E49" s="2222"/>
      <c r="F49" s="2222"/>
      <c r="G49" s="2222"/>
      <c r="H49" s="2222"/>
      <c r="I49" s="2223"/>
      <c r="J49" s="1242"/>
      <c r="K49" s="1242"/>
      <c r="L49" s="1243"/>
      <c r="P49" s="2143"/>
      <c r="Q49" s="1341"/>
      <c r="R49" s="280"/>
      <c r="S49" s="1159"/>
      <c r="T49" s="291" t="s">
        <v>1478</v>
      </c>
      <c r="U49" s="294"/>
      <c r="V49" s="294"/>
      <c r="W49" s="294"/>
      <c r="X49" s="294"/>
      <c r="Y49" s="294"/>
      <c r="Z49" s="294"/>
      <c r="AA49" s="294"/>
      <c r="AB49" s="293"/>
      <c r="AC49" s="294"/>
      <c r="AD49" s="294"/>
      <c r="AE49" s="294"/>
      <c r="AF49" s="294"/>
      <c r="AG49" s="294"/>
      <c r="AH49" s="294"/>
      <c r="AI49" s="293"/>
      <c r="AJ49" s="294"/>
      <c r="AK49" s="1305"/>
      <c r="AM49" s="428"/>
      <c r="AN49" s="428" t="str">
        <f t="shared" si="1"/>
        <v>Добавить группу потребителей</v>
      </c>
      <c r="AO49" s="428"/>
      <c r="AP49" s="428"/>
    </row>
    <row r="50" spans="1:42" ht="21" customHeight="1">
      <c r="A50" s="1242" t="s">
        <v>243</v>
      </c>
      <c r="B50" s="1242" t="s">
        <v>244</v>
      </c>
      <c r="C50" s="1242" t="s">
        <v>245</v>
      </c>
      <c r="D50" s="1242" t="s">
        <v>2096</v>
      </c>
      <c r="E50" s="2222"/>
      <c r="F50" s="2222"/>
      <c r="G50" s="2222"/>
      <c r="H50" s="2221"/>
      <c r="I50" s="1242"/>
      <c r="J50" s="1242"/>
      <c r="K50" s="1242"/>
      <c r="L50" s="1243"/>
      <c r="M50" s="1244"/>
      <c r="N50" s="1244"/>
      <c r="O50" s="464"/>
      <c r="P50" s="284"/>
      <c r="Q50" s="303"/>
      <c r="R50" s="279"/>
      <c r="S50" s="1159"/>
      <c r="T50" s="299" t="s">
        <v>1685</v>
      </c>
      <c r="U50" s="294"/>
      <c r="V50" s="294"/>
      <c r="W50" s="294"/>
      <c r="X50" s="294"/>
      <c r="Y50" s="294"/>
      <c r="Z50" s="294"/>
      <c r="AA50" s="294"/>
      <c r="AB50" s="293"/>
      <c r="AC50" s="294"/>
      <c r="AD50" s="294"/>
      <c r="AE50" s="294"/>
      <c r="AF50" s="294"/>
      <c r="AG50" s="294"/>
      <c r="AH50" s="294"/>
      <c r="AI50" s="293"/>
      <c r="AJ50" s="294"/>
      <c r="AK50" s="221"/>
      <c r="AM50" s="428"/>
      <c r="AN50" s="428" t="str">
        <f t="shared" si="1"/>
        <v>Добавить наименование признака дифференциации</v>
      </c>
      <c r="AO50" s="428"/>
      <c r="AP50" s="428"/>
    </row>
    <row r="51" spans="1:42" s="1755" customFormat="1" ht="0.75" customHeight="1">
      <c r="A51" s="1226" t="s">
        <v>243</v>
      </c>
      <c r="B51" s="1226" t="s">
        <v>244</v>
      </c>
      <c r="C51" s="1198"/>
      <c r="D51" s="1198"/>
      <c r="E51" s="2222"/>
      <c r="F51" s="2221"/>
      <c r="G51" s="1198"/>
      <c r="H51" s="1198"/>
      <c r="I51" s="1198"/>
      <c r="J51" s="1198"/>
      <c r="K51" s="1198"/>
      <c r="L51" s="1354"/>
      <c r="M51" s="1205"/>
      <c r="N51" s="1205"/>
      <c r="P51" s="1200"/>
      <c r="Q51" s="1201"/>
      <c r="R51" s="1200"/>
      <c r="S51" s="1206"/>
      <c r="T51" s="1209" t="s">
        <v>1439</v>
      </c>
      <c r="U51" s="1208"/>
      <c r="V51" s="1208"/>
      <c r="W51" s="1208"/>
      <c r="X51" s="1208"/>
      <c r="Y51" s="1208"/>
      <c r="Z51" s="1208"/>
      <c r="AA51" s="1208"/>
      <c r="AB51" s="1208"/>
      <c r="AC51" s="1208"/>
      <c r="AD51" s="1208"/>
      <c r="AE51" s="1208"/>
      <c r="AF51" s="1208"/>
      <c r="AG51" s="1208"/>
      <c r="AH51" s="1208"/>
      <c r="AI51" s="1208"/>
      <c r="AJ51" s="1208"/>
      <c r="AK51" s="1208"/>
      <c r="AM51" s="695"/>
      <c r="AN51" s="695" t="str">
        <f t="shared" si="1"/>
        <v>Добавить централизованную систему для дифференциации</v>
      </c>
      <c r="AO51" s="695"/>
      <c r="AP51" s="695"/>
    </row>
    <row r="52" spans="1:42" s="1755" customFormat="1" ht="0.75" customHeight="1">
      <c r="A52" s="1226" t="s">
        <v>243</v>
      </c>
      <c r="B52" s="1226"/>
      <c r="C52" s="1226"/>
      <c r="D52" s="1226"/>
      <c r="E52" s="2221"/>
      <c r="F52" s="1226"/>
      <c r="G52" s="1226"/>
      <c r="H52" s="1226"/>
      <c r="I52" s="1226"/>
      <c r="J52" s="1226"/>
      <c r="K52" s="1226"/>
      <c r="L52" s="1229"/>
      <c r="M52" s="1205"/>
      <c r="N52" s="1205"/>
      <c r="O52" s="446"/>
      <c r="P52" s="311"/>
      <c r="Q52" s="1227"/>
      <c r="R52" s="311"/>
      <c r="S52" s="1206"/>
      <c r="T52" s="1209" t="s">
        <v>1440</v>
      </c>
      <c r="U52" s="1208"/>
      <c r="V52" s="1208"/>
      <c r="W52" s="1208"/>
      <c r="X52" s="1208"/>
      <c r="Y52" s="1208"/>
      <c r="Z52" s="1208"/>
      <c r="AA52" s="1208"/>
      <c r="AB52" s="1208"/>
      <c r="AC52" s="1208"/>
      <c r="AD52" s="1208"/>
      <c r="AE52" s="1208"/>
      <c r="AF52" s="1208"/>
      <c r="AG52" s="1208"/>
      <c r="AH52" s="1208"/>
      <c r="AI52" s="1208"/>
      <c r="AJ52" s="1208"/>
      <c r="AK52" s="1208"/>
      <c r="AM52" s="428"/>
      <c r="AN52" s="428" t="str">
        <f t="shared" si="1"/>
        <v>Добавить территорию для дифференциации</v>
      </c>
      <c r="AO52" s="428"/>
      <c r="AP52" s="428"/>
    </row>
    <row r="53" spans="1:42" s="1755" customFormat="1" ht="0.75" customHeight="1">
      <c r="A53" s="1198"/>
      <c r="B53" s="1198"/>
      <c r="C53" s="1198"/>
      <c r="D53" s="1198"/>
      <c r="E53" s="1226"/>
      <c r="F53" s="1198"/>
      <c r="G53" s="1198"/>
      <c r="H53" s="1198"/>
      <c r="I53" s="1198"/>
      <c r="J53" s="1198"/>
      <c r="K53" s="1198"/>
      <c r="L53" s="1354"/>
      <c r="M53" s="1205"/>
      <c r="N53" s="1205"/>
      <c r="P53" s="1200"/>
      <c r="Q53" s="1201"/>
      <c r="R53" s="1200"/>
      <c r="S53" s="1206"/>
      <c r="T53" s="1209" t="s">
        <v>1441</v>
      </c>
      <c r="U53" s="1208"/>
      <c r="V53" s="1208"/>
      <c r="W53" s="1208"/>
      <c r="X53" s="1208"/>
      <c r="Y53" s="1208"/>
      <c r="Z53" s="1208"/>
      <c r="AA53" s="1208"/>
      <c r="AB53" s="1208"/>
      <c r="AC53" s="1208"/>
      <c r="AD53" s="1208"/>
      <c r="AE53" s="1208"/>
      <c r="AF53" s="1208"/>
      <c r="AG53" s="1208"/>
      <c r="AH53" s="1208"/>
      <c r="AI53" s="1208"/>
      <c r="AJ53" s="1208"/>
      <c r="AK53" s="1208"/>
      <c r="AM53" s="695"/>
      <c r="AN53" s="695" t="str">
        <f t="shared" si="1"/>
        <v>Добавить наименование тарифа</v>
      </c>
      <c r="AO53" s="695"/>
      <c r="AP53" s="695"/>
    </row>
    <row r="54" spans="1:42" ht="11.25" customHeight="1">
      <c r="M54" s="1034"/>
      <c r="N54" s="1034"/>
      <c r="O54" s="464"/>
      <c r="P54" s="1029"/>
      <c r="Q54" s="1029"/>
      <c r="R54" s="1029"/>
      <c r="S54" s="1029"/>
      <c r="AL54" s="1029"/>
      <c r="AM54" s="1029"/>
      <c r="AN54" s="1029"/>
      <c r="AO54" s="1029"/>
      <c r="AP54" s="1029"/>
    </row>
    <row r="55" spans="1:42" ht="14.25" customHeight="1">
      <c r="O55" s="464"/>
      <c r="S55" s="1126" t="s">
        <v>1511</v>
      </c>
      <c r="T55" s="2220" t="s">
        <v>2097</v>
      </c>
      <c r="U55" s="2220"/>
      <c r="V55" s="2220"/>
      <c r="W55" s="2220"/>
      <c r="X55" s="2220"/>
      <c r="Y55" s="2220"/>
      <c r="Z55" s="2220"/>
      <c r="AA55" s="2220"/>
      <c r="AB55" s="2220"/>
      <c r="AC55" s="2220"/>
      <c r="AD55" s="2220"/>
      <c r="AE55" s="2220"/>
      <c r="AF55" s="2220"/>
      <c r="AG55" s="2220"/>
      <c r="AH55" s="2220"/>
      <c r="AI55" s="2220"/>
      <c r="AJ55" s="2220"/>
      <c r="AK55" s="2220"/>
    </row>
    <row r="56" spans="1:42" ht="14.25" customHeight="1">
      <c r="O56" s="464"/>
    </row>
    <row r="57" spans="1:42" ht="14.25" customHeight="1">
      <c r="O57" s="464"/>
      <c r="S57" s="1126" t="s">
        <v>1511</v>
      </c>
      <c r="T57" s="2220" t="s">
        <v>2098</v>
      </c>
      <c r="U57" s="2220"/>
      <c r="V57" s="2220"/>
      <c r="W57" s="2220"/>
      <c r="X57" s="2220"/>
      <c r="Y57" s="2220"/>
      <c r="Z57" s="2220"/>
      <c r="AA57" s="2220"/>
      <c r="AB57" s="2220"/>
      <c r="AC57" s="2220"/>
      <c r="AD57" s="2220"/>
      <c r="AE57" s="2220"/>
      <c r="AF57" s="2220"/>
      <c r="AG57" s="2220"/>
      <c r="AH57" s="2220"/>
      <c r="AI57" s="2220"/>
      <c r="AJ57" s="2220"/>
      <c r="AK57" s="2220"/>
    </row>
  </sheetData>
  <sheetProtection formatColumns="0" formatRows="0" insertRows="0" deleteColumns="0" deleteRows="0" sort="0" autoFilter="0"/>
  <mergeCells count="101">
    <mergeCell ref="E2:E13"/>
    <mergeCell ref="V2:AB2"/>
    <mergeCell ref="AC2:AJ2"/>
    <mergeCell ref="F3:F12"/>
    <mergeCell ref="V3:AB3"/>
    <mergeCell ref="AC3:AJ3"/>
    <mergeCell ref="G4:G11"/>
    <mergeCell ref="V4:AB4"/>
    <mergeCell ref="AC4:AJ4"/>
    <mergeCell ref="H5:H11"/>
    <mergeCell ref="I5:I10"/>
    <mergeCell ref="P5:P10"/>
    <mergeCell ref="V5:AB5"/>
    <mergeCell ref="AC5:AJ5"/>
    <mergeCell ref="J6:J9"/>
    <mergeCell ref="Q6:Q9"/>
    <mergeCell ref="V6:AB6"/>
    <mergeCell ref="AC6:AJ6"/>
    <mergeCell ref="K7:K8"/>
    <mergeCell ref="Y7:Y8"/>
    <mergeCell ref="AI7:AI8"/>
    <mergeCell ref="AK7:AK8"/>
    <mergeCell ref="AF15:AF16"/>
    <mergeCell ref="AG15:AG16"/>
    <mergeCell ref="AH15:AH16"/>
    <mergeCell ref="AI15:AI16"/>
    <mergeCell ref="Z7:Z8"/>
    <mergeCell ref="AA7:AA8"/>
    <mergeCell ref="AB7:AB8"/>
    <mergeCell ref="AF7:AF8"/>
    <mergeCell ref="AG7:AG8"/>
    <mergeCell ref="AH7:AH8"/>
    <mergeCell ref="S29:T29"/>
    <mergeCell ref="V29:AA29"/>
    <mergeCell ref="AC29:AH29"/>
    <mergeCell ref="S30:T30"/>
    <mergeCell ref="V30:AA30"/>
    <mergeCell ref="AC30:AH30"/>
    <mergeCell ref="S24:AH24"/>
    <mergeCell ref="S25:AH25"/>
    <mergeCell ref="S27:T27"/>
    <mergeCell ref="V27:AA27"/>
    <mergeCell ref="AC27:AH27"/>
    <mergeCell ref="S28:T28"/>
    <mergeCell ref="V28:AA28"/>
    <mergeCell ref="AC28:AH28"/>
    <mergeCell ref="AK36:AK39"/>
    <mergeCell ref="S37:S39"/>
    <mergeCell ref="T37:T39"/>
    <mergeCell ref="V37:AA37"/>
    <mergeCell ref="AB37:AB39"/>
    <mergeCell ref="AC37:AH37"/>
    <mergeCell ref="AI37:AI39"/>
    <mergeCell ref="S32:T32"/>
    <mergeCell ref="V32:AA32"/>
    <mergeCell ref="AC32:AH32"/>
    <mergeCell ref="S33:T33"/>
    <mergeCell ref="V33:AA33"/>
    <mergeCell ref="AC33:AH33"/>
    <mergeCell ref="AJ37:AJ39"/>
    <mergeCell ref="W38:X38"/>
    <mergeCell ref="Y38:AA38"/>
    <mergeCell ref="AD38:AE38"/>
    <mergeCell ref="AF38:AH38"/>
    <mergeCell ref="Z39:AA39"/>
    <mergeCell ref="AG39:AH39"/>
    <mergeCell ref="V35:AB35"/>
    <mergeCell ref="AC35:AI35"/>
    <mergeCell ref="S36:AJ36"/>
    <mergeCell ref="Z40:AA40"/>
    <mergeCell ref="AG40:AH40"/>
    <mergeCell ref="E41:E52"/>
    <mergeCell ref="V41:AB41"/>
    <mergeCell ref="AC41:AJ41"/>
    <mergeCell ref="F42:F51"/>
    <mergeCell ref="V42:AB42"/>
    <mergeCell ref="AC42:AJ42"/>
    <mergeCell ref="G43:G50"/>
    <mergeCell ref="V43:AB43"/>
    <mergeCell ref="AC43:AJ43"/>
    <mergeCell ref="H44:H50"/>
    <mergeCell ref="I44:I49"/>
    <mergeCell ref="P44:P49"/>
    <mergeCell ref="V44:AB44"/>
    <mergeCell ref="AC44:AJ44"/>
    <mergeCell ref="J45:J48"/>
    <mergeCell ref="Q45:Q48"/>
    <mergeCell ref="V45:AB45"/>
    <mergeCell ref="AC45:AJ45"/>
    <mergeCell ref="AG46:AG47"/>
    <mergeCell ref="AH46:AH47"/>
    <mergeCell ref="AI46:AI47"/>
    <mergeCell ref="AK46:AK47"/>
    <mergeCell ref="T55:AK55"/>
    <mergeCell ref="T57:AK57"/>
    <mergeCell ref="K46:K47"/>
    <mergeCell ref="Y46:Y47"/>
    <mergeCell ref="Z46:Z47"/>
    <mergeCell ref="AA46:AA47"/>
    <mergeCell ref="AB46:AB47"/>
    <mergeCell ref="AF46:AF47"/>
  </mergeCells>
  <dataValidations count="8">
    <dataValidation allowBlank="1" promptTitle="checkPeriodRange" sqref="X65579 X131115 X196651 X262187 X327723 X393259 X458795 X524331 X589867 X655403 X720939 X786475 X852011 X917547 X983083 AE16 AE65579 AE131115 AE196651 AE262187 AE327723 AE393259 AE458795 AE524331 AE589867 AE655403 AE720939 AE786475 AE852011 AE917547 AE983083 AE47 AE8 X8 X47"/>
    <dataValidation type="list" allowBlank="1" showInputMessage="1" showErrorMessage="1" errorTitle="Ошибка" error="Выберите значение из списка" sqref="V983080 V65576 V131112 V196648 V262184 V327720 V393256 V458792 V524328 V589864 V655400 V720936 V786472 V852008 V917544 AC983080 AC65576 AC131112 AC196648 AC262184 AC327720 AC393256 AC458792 AC524328 AC589864 AC655400 AC720936 AC786472 AC852008 AC917544">
      <formula1>kind_of_scheme_in</formula1>
    </dataValidation>
    <dataValidation type="textLength" operator="lessThanOrEqual" allowBlank="1" showInputMessage="1" showErrorMessage="1" errorTitle="Ошибка" error="Допускается ввод не более 900 символов!" sqref="AK65572:AK65579 AK131108:AK131115 AK196644:AK196651 AK262180:AK262187 AK327716:AK327723 AK393252:AK393259 AK458788:AK458795 AK524324:AK524331 AK589860:AK589867 AK655396:AK655403 AK720932:AK720939 AK786468:AK786475 AK852004:AK852011 AK917540:AK917547 AK983076:AK983083 T46 T7 AC5:AJ5 AC44:AJ44">
      <formula1>900</formula1>
    </dataValidation>
    <dataValidation type="list" allowBlank="1" showInputMessage="1" showErrorMessage="1" errorTitle="Ошибка" error="Выберите значение из списка" sqref="T65578 T131114 T196650 T262186 T327722 T393258 T458794 T524330 T589866 T655402 T720938 T786474 T852010 T917546 T983082">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Y65578 Y131114 Y196650 Y262186 Y327722 Y393258 Y458794 Y524330 Y589866 Y655402 Y720938 Y786474 Y852010 Y917546 Y983082 AA65578 AA131114 AA196650 AA262186 AA327722 AA393258 AA458794 AA524330 AA589866 AA655402 AA720938 AA786474 AA852010 AA917546 AA983082 AF15 AF65578 AF131114 AF196650 AF262186 AF327722 AF393258 AF458794 AF524330 AF589866 AF655402 AF720938 AF786474 AF852010 AF917546 AF983082 AH65578 AH131114 AH196650 AH262186 AH327722 AH393258 AH458794 AH524330 AH589866 AH655402 AH720938 AH786474 AH852010 AH917546 AH983082 AH46 AF46 AH15 AH7 AF7 Y7 AA7 Y46 AA46"/>
    <dataValidation allowBlank="1" showInputMessage="1" showErrorMessage="1" prompt="Для выбора выполните двойной щелчок левой клавиши мыши по соответствующей ячейке." sqref="Z65578 Z131114 Z196650 Z262186 Z327722 Z393258 Z458794 Z524330 Z589866 Z655402 Z720938 Z786474 Z852010 Z917546 Z983082 AB131114 AB458794 AB196650 AB262186 AB327722 AB393258 AB524330 AB589866 AB655402 AB720938 AB786474 AB852010 AB917546 AB983082 AB65578 AG65578 AG131114 AG196650 AG262186 AG327722 AG393258 AG458794 AG524330 AG589866 AG655402 AG720938 AG786474 AG852010 AG917546 AG983082 AI524330 AI196650 AI589866 AI655402 AI15 AI720938 AI786474 AI852010 AI917546 AI983082 AI65578 AI131114 AI458794 AI262186 AI7 AG46 AI327722 AG15 AG7 Z7 AB7 AI393258 AI46 Z46 AB46"/>
    <dataValidation allowBlank="1" sqref="S131116:AK131122 S196652:AK196658 S262188:AK262194 S327724:AK327730 S393260:AK393266 S458796:AK458802 S524332:AK524338 S589868:AK589874 S655404:AK655410 S720940:AK720946 S786476:AK786482 S852012:AK852018 S917548:AK917554 S983084:AK983090 S65580:AK65586"/>
    <dataValidation type="list" allowBlank="1" showInputMessage="1" errorTitle="Ошибка" error="Выберите значение из списка" prompt="Выберите значение из списка" sqref="V983081:AJ983081 V65577:AJ65577 V131113:AJ131113 V196649:AJ196649 V262185:AJ262185 V327721:AJ327721 V393257:AJ393257 V458793:AJ458793 V524329:AJ524329 V589865:AJ589865 V655401:AJ655401 V720937:AJ720937 V786473:AJ786473 V852009:AJ852009 V917545:AJ917545">
      <formula1>kind_of_cons</formula1>
    </dataValidation>
  </dataValidation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CCCCFF"/>
  </sheetPr>
  <dimension ref="A1:AQ130"/>
  <sheetViews>
    <sheetView showGridLines="0" topLeftCell="C4" zoomScale="90" workbookViewId="0"/>
  </sheetViews>
  <sheetFormatPr defaultColWidth="9.140625" defaultRowHeight="11.25" customHeight="1"/>
  <cols>
    <col min="1" max="2" width="3.7109375" style="1748" hidden="1" customWidth="1"/>
    <col min="3" max="3" width="3.7109375" style="1933" customWidth="1"/>
    <col min="4" max="4" width="6.140625" style="1933" customWidth="1"/>
    <col min="5" max="5" width="43.140625" style="1933" customWidth="1"/>
    <col min="6" max="6" width="15" style="1933" customWidth="1"/>
    <col min="7" max="7" width="43.140625" style="1933" customWidth="1"/>
    <col min="8" max="8" width="3.7109375" style="1933" customWidth="1"/>
    <col min="9" max="9" width="5.42578125" style="1933" customWidth="1"/>
    <col min="10" max="10" width="47.85546875" style="1933" customWidth="1"/>
    <col min="11" max="12" width="3.7109375" style="1933" customWidth="1"/>
    <col min="13" max="13" width="5.7109375" style="1933" customWidth="1"/>
    <col min="14" max="14" width="28.140625" style="1933" customWidth="1"/>
    <col min="15" max="16" width="3.7109375" style="1933" customWidth="1"/>
    <col min="17" max="17" width="5.7109375" style="1933" customWidth="1"/>
    <col min="18" max="18" width="34.42578125" style="1933" customWidth="1"/>
    <col min="19" max="20" width="3.7109375" style="1933" hidden="1" customWidth="1"/>
    <col min="21" max="21" width="5.7109375" style="1933" hidden="1" customWidth="1"/>
    <col min="22" max="22" width="34.42578125" style="1933" hidden="1" customWidth="1"/>
    <col min="23" max="23" width="30.7109375" style="1933" customWidth="1"/>
    <col min="24" max="24" width="3.7109375" style="1933" customWidth="1"/>
    <col min="25" max="28" width="9.85546875" style="1918" hidden="1" customWidth="1"/>
    <col min="29" max="29" width="16.85546875" style="1748" hidden="1" customWidth="1"/>
    <col min="30" max="30" width="10.5703125" style="1748" hidden="1" customWidth="1"/>
    <col min="31" max="31" width="10.7109375" style="1748" hidden="1" customWidth="1"/>
    <col min="32" max="32" width="10" style="1748" hidden="1" customWidth="1"/>
    <col min="33" max="33" width="12.85546875" style="1748" hidden="1" customWidth="1"/>
    <col min="34" max="34" width="10.28515625" style="1748" hidden="1" customWidth="1"/>
    <col min="35" max="35" width="15.85546875" style="1748" hidden="1" customWidth="1"/>
    <col min="36" max="36" width="19.42578125" style="1748" hidden="1" customWidth="1"/>
    <col min="37" max="37" width="11" style="1748" hidden="1" customWidth="1"/>
    <col min="38" max="38" width="23.5703125" style="1748" hidden="1" customWidth="1"/>
    <col min="39" max="39" width="23.85546875" style="1748" hidden="1" customWidth="1"/>
    <col min="40" max="40" width="25.28515625" style="1748" hidden="1" customWidth="1"/>
    <col min="41" max="41" width="16.85546875" style="1748" hidden="1" customWidth="1"/>
    <col min="42" max="42" width="29.5703125" style="1748" hidden="1" customWidth="1"/>
    <col min="43" max="43" width="29.85546875" style="1748" hidden="1" customWidth="1"/>
  </cols>
  <sheetData>
    <row r="1" spans="1:43" ht="11.25" hidden="1" customHeight="1">
      <c r="A1" s="85"/>
    </row>
    <row r="2" spans="1:43" ht="11.25" hidden="1" customHeight="1"/>
    <row r="3" spans="1:43" ht="11.25" hidden="1" customHeight="1"/>
    <row r="4" spans="1:43" ht="3" customHeight="1"/>
    <row r="5" spans="1:43" s="1637" customFormat="1" ht="39" customHeight="1">
      <c r="A5" s="83"/>
      <c r="B5" s="83"/>
      <c r="D5" s="2000" t="str">
        <f>"Перечень тарифов и технологически не связанных между собой централизованных систем "&amp;TEMPLATE_SPHERE_RUS&amp;", в отношении которых предлагаются различные тарифы в сфере  "&amp;TEMPLATE_SPHERE_RUS&amp;IF(TEMPLATE_SPHERE="HEAT"," и горячего водоснабжения с использованием открытых систем "&amp;TEMPLATE_SPHERE_RUS,"")&amp;" (информация раскрывается отдельно по каждой системе  "&amp;TEMPLATE_SPHERE_RUS&amp;")"</f>
        <v>Перечень тарифов и технологически не связанных между собой централизованных систем горячего водоснабжения, в отношении которых предлагаются различные тарифы в сфере  горячего водоснабжения (информация раскрывается отдельно по каждой системе  горячего водоснабжения)</v>
      </c>
      <c r="E5" s="2001"/>
      <c r="F5" s="2001"/>
      <c r="G5" s="2001"/>
      <c r="H5" s="2001"/>
      <c r="I5" s="2001"/>
      <c r="J5" s="2002"/>
      <c r="K5" s="183"/>
      <c r="L5" s="72"/>
      <c r="M5" s="72"/>
      <c r="N5" s="72"/>
      <c r="O5" s="72"/>
      <c r="P5" s="72"/>
      <c r="Q5" s="72"/>
      <c r="R5" s="72"/>
      <c r="S5" s="208"/>
      <c r="T5" s="208"/>
      <c r="U5" s="208"/>
      <c r="V5" s="208"/>
      <c r="W5" s="72"/>
      <c r="Y5" s="1141"/>
      <c r="Z5" s="1141"/>
      <c r="AA5" s="1141"/>
      <c r="AB5" s="1141"/>
      <c r="AC5" s="83"/>
      <c r="AD5" s="83"/>
      <c r="AE5" s="83"/>
      <c r="AF5" s="83"/>
      <c r="AG5" s="83"/>
      <c r="AH5" s="83"/>
      <c r="AI5" s="83"/>
      <c r="AJ5" s="83"/>
      <c r="AK5" s="83"/>
      <c r="AL5" s="83"/>
      <c r="AM5" s="83"/>
      <c r="AN5" s="83"/>
      <c r="AO5" s="83"/>
      <c r="AP5" s="83"/>
      <c r="AQ5" s="83"/>
    </row>
    <row r="6" spans="1:43" s="1637" customFormat="1" ht="15" customHeight="1">
      <c r="A6" s="511"/>
      <c r="B6" s="511"/>
      <c r="C6" s="511"/>
      <c r="D6" s="2063" t="str">
        <f>IF(org=0,"Не определено",org)</f>
        <v>МУП г. Астрахани "Коммунэнерго"</v>
      </c>
      <c r="E6" s="2063"/>
      <c r="F6" s="2063"/>
      <c r="G6" s="2063"/>
      <c r="H6" s="2063"/>
      <c r="I6" s="2063"/>
      <c r="J6" s="2063"/>
      <c r="K6" s="512"/>
      <c r="L6" s="512"/>
      <c r="M6" s="512"/>
      <c r="N6" s="512"/>
      <c r="O6" s="768"/>
      <c r="P6" s="768"/>
      <c r="Q6" s="768"/>
      <c r="R6" s="768"/>
      <c r="S6" s="768"/>
      <c r="T6" s="768"/>
      <c r="U6" s="768"/>
      <c r="V6" s="768"/>
      <c r="W6" s="768"/>
      <c r="X6" s="512"/>
      <c r="Y6" s="1142"/>
      <c r="Z6" s="1142"/>
      <c r="AA6" s="1142"/>
      <c r="AB6" s="1142"/>
      <c r="AC6" s="768"/>
      <c r="AD6" s="768"/>
      <c r="AE6" s="768"/>
      <c r="AF6" s="768"/>
      <c r="AG6" s="768"/>
      <c r="AH6" s="768"/>
      <c r="AI6" s="768"/>
      <c r="AJ6" s="768"/>
      <c r="AK6" s="768"/>
      <c r="AL6" s="768"/>
      <c r="AM6" s="768"/>
      <c r="AN6" s="768"/>
      <c r="AO6" s="768"/>
      <c r="AP6" s="768"/>
      <c r="AQ6" s="768"/>
    </row>
    <row r="7" spans="1:43" s="1636" customFormat="1" ht="11.25" customHeight="1">
      <c r="A7" s="133"/>
      <c r="B7" s="133"/>
      <c r="D7" s="2060"/>
      <c r="E7" s="2061"/>
      <c r="F7" s="2061"/>
      <c r="G7" s="2061"/>
      <c r="H7" s="2061"/>
      <c r="I7" s="2061"/>
      <c r="J7" s="2062"/>
      <c r="S7" s="217"/>
      <c r="T7" s="217"/>
      <c r="U7" s="217"/>
      <c r="V7" s="217"/>
      <c r="Y7" s="1143"/>
      <c r="Z7" s="1143"/>
      <c r="AA7" s="1143"/>
      <c r="AB7" s="1143"/>
      <c r="AC7" s="133"/>
      <c r="AD7" s="133"/>
      <c r="AE7" s="133"/>
      <c r="AF7" s="133"/>
      <c r="AG7" s="133"/>
      <c r="AH7" s="133"/>
      <c r="AI7" s="133"/>
      <c r="AJ7" s="133"/>
      <c r="AK7" s="133"/>
      <c r="AL7" s="133"/>
      <c r="AM7" s="133"/>
      <c r="AN7" s="133"/>
      <c r="AO7" s="133"/>
      <c r="AP7" s="133"/>
      <c r="AQ7" s="133"/>
    </row>
    <row r="8" spans="1:43" s="1637" customFormat="1" ht="0.75" customHeight="1">
      <c r="A8" s="83"/>
      <c r="B8" s="83"/>
      <c r="D8" s="134"/>
      <c r="E8" s="134"/>
      <c r="F8" s="134"/>
      <c r="G8" s="134"/>
      <c r="H8" s="134"/>
      <c r="I8" s="134"/>
      <c r="J8" s="134"/>
      <c r="K8" s="134"/>
      <c r="L8" s="134"/>
      <c r="M8" s="134"/>
      <c r="N8" s="134"/>
      <c r="O8" s="134"/>
      <c r="P8" s="134"/>
      <c r="Q8" s="134"/>
      <c r="R8" s="134"/>
      <c r="S8" s="134"/>
      <c r="T8" s="134"/>
      <c r="U8" s="134"/>
      <c r="V8" s="134"/>
      <c r="W8" s="134"/>
      <c r="X8" s="62"/>
      <c r="Y8" s="1141"/>
      <c r="Z8" s="1141"/>
      <c r="AA8" s="1141"/>
      <c r="AB8" s="1141"/>
      <c r="AC8" s="83"/>
      <c r="AD8" s="83"/>
      <c r="AE8" s="83"/>
      <c r="AF8" s="83"/>
      <c r="AG8" s="83"/>
      <c r="AH8" s="83"/>
      <c r="AI8" s="83"/>
      <c r="AJ8" s="83"/>
      <c r="AK8" s="83"/>
      <c r="AL8" s="83"/>
      <c r="AM8" s="83"/>
      <c r="AN8" s="83"/>
      <c r="AO8" s="83"/>
      <c r="AP8" s="83"/>
      <c r="AQ8" s="83"/>
    </row>
    <row r="9" spans="1:43" ht="27" customHeight="1">
      <c r="D9" s="2007" t="s">
        <v>87</v>
      </c>
      <c r="E9" s="1989" t="s">
        <v>123</v>
      </c>
      <c r="F9" s="1988"/>
      <c r="G9" s="2007" t="s">
        <v>104</v>
      </c>
      <c r="H9" s="2007" t="s">
        <v>87</v>
      </c>
      <c r="I9" s="2007"/>
      <c r="J9" s="2007" t="s">
        <v>124</v>
      </c>
      <c r="K9" s="2064" t="s">
        <v>125</v>
      </c>
      <c r="L9" s="2064"/>
      <c r="M9" s="2064"/>
      <c r="N9" s="2064"/>
      <c r="O9" s="2064" t="s">
        <v>126</v>
      </c>
      <c r="P9" s="2064"/>
      <c r="Q9" s="2064"/>
      <c r="R9" s="2064"/>
      <c r="S9" s="2064" t="s">
        <v>127</v>
      </c>
      <c r="T9" s="2064"/>
      <c r="U9" s="2064"/>
      <c r="V9" s="2064"/>
      <c r="W9" s="2007" t="s">
        <v>128</v>
      </c>
      <c r="Z9" s="1249"/>
      <c r="AA9" s="1249"/>
      <c r="AB9" s="1249"/>
    </row>
    <row r="10" spans="1:43" ht="30" customHeight="1">
      <c r="D10" s="2007"/>
      <c r="E10" s="1164" t="s">
        <v>88</v>
      </c>
      <c r="F10" s="1164" t="s">
        <v>129</v>
      </c>
      <c r="G10" s="2007"/>
      <c r="H10" s="2007"/>
      <c r="I10" s="2007"/>
      <c r="J10" s="2007"/>
      <c r="K10" s="46" t="s">
        <v>107</v>
      </c>
      <c r="L10" s="2007" t="s">
        <v>87</v>
      </c>
      <c r="M10" s="2007"/>
      <c r="N10" s="46" t="s">
        <v>130</v>
      </c>
      <c r="O10" s="46" t="s">
        <v>107</v>
      </c>
      <c r="P10" s="2007" t="s">
        <v>87</v>
      </c>
      <c r="Q10" s="2007"/>
      <c r="R10" s="46" t="s">
        <v>130</v>
      </c>
      <c r="S10" s="201" t="s">
        <v>107</v>
      </c>
      <c r="T10" s="2007" t="s">
        <v>87</v>
      </c>
      <c r="U10" s="2007"/>
      <c r="V10" s="201" t="s">
        <v>88</v>
      </c>
      <c r="W10" s="2007"/>
      <c r="Z10" s="1249" t="s">
        <v>131</v>
      </c>
      <c r="AA10" s="1249" t="s">
        <v>132</v>
      </c>
      <c r="AB10" s="1249" t="s">
        <v>133</v>
      </c>
      <c r="AC10" s="194" t="s">
        <v>134</v>
      </c>
      <c r="AD10" s="194" t="s">
        <v>135</v>
      </c>
      <c r="AE10" s="194" t="s">
        <v>136</v>
      </c>
      <c r="AF10" s="194" t="s">
        <v>137</v>
      </c>
      <c r="AG10" s="194" t="s">
        <v>138</v>
      </c>
      <c r="AH10" s="194" t="s">
        <v>139</v>
      </c>
      <c r="AI10" s="194" t="s">
        <v>140</v>
      </c>
      <c r="AJ10" s="194" t="s">
        <v>141</v>
      </c>
      <c r="AK10" s="194" t="s">
        <v>142</v>
      </c>
      <c r="AL10" s="194" t="s">
        <v>143</v>
      </c>
      <c r="AM10" s="194" t="s">
        <v>144</v>
      </c>
      <c r="AN10" s="194" t="s">
        <v>145</v>
      </c>
      <c r="AO10" s="194" t="s">
        <v>146</v>
      </c>
      <c r="AP10" s="194" t="s">
        <v>147</v>
      </c>
      <c r="AQ10" s="194" t="s">
        <v>148</v>
      </c>
    </row>
    <row r="11" spans="1:43" s="1748" customFormat="1" ht="12" hidden="1" customHeight="1">
      <c r="D11" s="1121" t="s">
        <v>108</v>
      </c>
      <c r="E11" s="1121" t="s">
        <v>109</v>
      </c>
      <c r="F11" s="1121"/>
      <c r="G11" s="1121" t="s">
        <v>89</v>
      </c>
      <c r="H11" s="2059" t="s">
        <v>110</v>
      </c>
      <c r="I11" s="2059"/>
      <c r="J11" s="1121" t="s">
        <v>91</v>
      </c>
      <c r="K11" s="1121" t="s">
        <v>92</v>
      </c>
      <c r="L11" s="2059" t="s">
        <v>111</v>
      </c>
      <c r="M11" s="2059"/>
      <c r="N11" s="1121" t="s">
        <v>149</v>
      </c>
      <c r="O11" s="1121" t="s">
        <v>150</v>
      </c>
      <c r="P11" s="2059" t="s">
        <v>151</v>
      </c>
      <c r="Q11" s="2059"/>
      <c r="R11" s="1121" t="s">
        <v>152</v>
      </c>
      <c r="S11" s="1121" t="s">
        <v>151</v>
      </c>
      <c r="T11" s="2059" t="s">
        <v>152</v>
      </c>
      <c r="U11" s="2059"/>
      <c r="V11" s="1121" t="s">
        <v>153</v>
      </c>
      <c r="W11" s="1121" t="s">
        <v>154</v>
      </c>
    </row>
    <row r="12" spans="1:43" ht="14.25" hidden="1" customHeight="1">
      <c r="C12" s="131"/>
      <c r="D12" s="1163">
        <v>0</v>
      </c>
      <c r="E12" s="169"/>
      <c r="F12" s="169"/>
      <c r="G12" s="169"/>
      <c r="H12" s="170"/>
      <c r="I12" s="170"/>
      <c r="J12" s="87"/>
      <c r="K12" s="47"/>
      <c r="L12" s="87"/>
      <c r="M12" s="87"/>
      <c r="N12" s="171"/>
      <c r="O12" s="47"/>
      <c r="P12" s="87"/>
      <c r="Q12" s="87"/>
      <c r="R12" s="172"/>
      <c r="S12" s="202"/>
      <c r="T12" s="210"/>
      <c r="U12" s="210"/>
      <c r="V12" s="214"/>
      <c r="W12" s="47"/>
      <c r="X12" s="71"/>
    </row>
    <row r="13" spans="1:43" s="1933" customFormat="1" ht="17.25" hidden="1" customHeight="1">
      <c r="A13" s="246"/>
      <c r="C13" s="131"/>
      <c r="D13" s="2027">
        <v>1</v>
      </c>
      <c r="E13" s="2029" t="s">
        <v>155</v>
      </c>
      <c r="F13" s="2031" t="s">
        <v>55</v>
      </c>
      <c r="G13" s="2034"/>
      <c r="H13" s="2036"/>
      <c r="I13" s="2038"/>
      <c r="J13" s="2040"/>
      <c r="K13" s="2025"/>
      <c r="L13" s="2025"/>
      <c r="M13" s="2025"/>
      <c r="N13" s="2043"/>
      <c r="O13" s="2025"/>
      <c r="P13" s="2025"/>
      <c r="Q13" s="2025"/>
      <c r="R13" s="2046"/>
      <c r="S13" s="2025"/>
      <c r="T13" s="1287"/>
      <c r="U13" s="1287"/>
      <c r="V13" s="1286"/>
      <c r="W13" s="1179"/>
      <c r="Y13" s="1147"/>
      <c r="Z13" s="1147"/>
      <c r="AA13" s="1147"/>
      <c r="AB13" s="1147"/>
      <c r="AC13" s="1226" t="s">
        <v>156</v>
      </c>
      <c r="AD13" s="1226" t="s">
        <v>157</v>
      </c>
      <c r="AE13" s="1226" t="s">
        <v>158</v>
      </c>
      <c r="AF13" s="1226" t="s">
        <v>159</v>
      </c>
      <c r="AG13" s="1226" t="s">
        <v>160</v>
      </c>
      <c r="AH13" s="1226" t="str">
        <f>IF($E$13=0,"",$E$13)</f>
        <v>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v>
      </c>
      <c r="AI13" s="1226" t="str">
        <f>IF($G$13=0,"",$G$13)</f>
        <v/>
      </c>
      <c r="AJ13" s="1226" t="str">
        <f>IF($J$13=0,"",$J$13)</f>
        <v/>
      </c>
      <c r="AK13" s="1226" t="str">
        <f>IF($K$13="нет","без дифференциации",IF($N$13=0,"",$N$13))</f>
        <v/>
      </c>
      <c r="AL13" s="1226" t="str">
        <f>IF($O$13="нет","без дифференциации",IF($R$13=0,"",$R$13))</f>
        <v/>
      </c>
      <c r="AM13" s="1226" t="str">
        <f>IF($S$13="нет","без дифференциации",IF($V$13=0,"",$V$13))</f>
        <v/>
      </c>
      <c r="AN13" s="1226">
        <f>$I$13</f>
        <v>0</v>
      </c>
      <c r="AO13" s="1226" t="str">
        <f>$I$13&amp;"."&amp;$M$13</f>
        <v>.</v>
      </c>
      <c r="AP13" s="1226" t="str">
        <f>$I$13&amp;"."&amp;$M$13&amp;"."&amp;$Q$13</f>
        <v>..</v>
      </c>
      <c r="AQ13" s="1226" t="str">
        <f>$I$13&amp;"."&amp;$M$13&amp;"."&amp;$Q$13&amp;"."&amp;$U$13</f>
        <v>...</v>
      </c>
    </row>
    <row r="14" spans="1:43" s="1933" customFormat="1" ht="17.25" hidden="1" customHeight="1">
      <c r="A14" s="246"/>
      <c r="C14" s="245"/>
      <c r="D14" s="2027"/>
      <c r="E14" s="2029"/>
      <c r="F14" s="2032"/>
      <c r="G14" s="2034"/>
      <c r="H14" s="2037"/>
      <c r="I14" s="2039"/>
      <c r="J14" s="2041"/>
      <c r="K14" s="2026"/>
      <c r="L14" s="2026"/>
      <c r="M14" s="2026"/>
      <c r="N14" s="2044"/>
      <c r="O14" s="2026"/>
      <c r="P14" s="2026"/>
      <c r="Q14" s="2026"/>
      <c r="R14" s="2045"/>
      <c r="S14" s="2026"/>
      <c r="T14" s="1180"/>
      <c r="U14" s="1180"/>
      <c r="V14" s="1180"/>
      <c r="W14" s="1181"/>
      <c r="Y14" s="1140"/>
      <c r="Z14" s="1140"/>
      <c r="AA14" s="1140"/>
      <c r="AB14" s="1140"/>
      <c r="AC14" s="194"/>
      <c r="AD14" s="194"/>
      <c r="AE14" s="194"/>
      <c r="AF14" s="194"/>
      <c r="AG14" s="194"/>
      <c r="AH14" s="194"/>
      <c r="AI14" s="194"/>
      <c r="AJ14" s="194"/>
      <c r="AK14" s="194"/>
      <c r="AL14" s="194"/>
      <c r="AM14" s="194"/>
      <c r="AN14" s="194"/>
      <c r="AO14" s="194"/>
      <c r="AP14" s="194"/>
      <c r="AQ14" s="194"/>
    </row>
    <row r="15" spans="1:43" s="1933" customFormat="1" ht="17.25" hidden="1" customHeight="1">
      <c r="A15" s="246"/>
      <c r="C15" s="131"/>
      <c r="D15" s="2027"/>
      <c r="E15" s="2029"/>
      <c r="F15" s="2032"/>
      <c r="G15" s="2034"/>
      <c r="H15" s="2037"/>
      <c r="I15" s="2039"/>
      <c r="J15" s="2042"/>
      <c r="K15" s="2026"/>
      <c r="L15" s="2026"/>
      <c r="M15" s="2026"/>
      <c r="N15" s="2045"/>
      <c r="O15" s="2026"/>
      <c r="P15" s="1285"/>
      <c r="Q15" s="1180"/>
      <c r="R15" s="1180"/>
      <c r="S15" s="255"/>
      <c r="T15" s="255"/>
      <c r="U15" s="255"/>
      <c r="V15" s="255"/>
      <c r="W15" s="1181"/>
      <c r="Y15" s="1147"/>
      <c r="Z15" s="1147"/>
      <c r="AA15" s="1147"/>
      <c r="AB15" s="1147"/>
      <c r="AC15" s="1226" t="s">
        <v>156</v>
      </c>
      <c r="AD15" s="1226" t="s">
        <v>157</v>
      </c>
      <c r="AE15" s="1226" t="s">
        <v>158</v>
      </c>
      <c r="AF15" s="1226" t="s">
        <v>161</v>
      </c>
      <c r="AG15" s="1226" t="s">
        <v>162</v>
      </c>
      <c r="AH15" s="1226" t="str">
        <f>IF($E$13=0,"",$E$13)</f>
        <v>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v>
      </c>
      <c r="AI15" s="1226" t="str">
        <f>IF($G$13=0,"",$G$13)</f>
        <v/>
      </c>
      <c r="AJ15" s="1226" t="str">
        <f>IF($J$13=0,"",$J$13)</f>
        <v/>
      </c>
      <c r="AK15" s="1226" t="str">
        <f>IF($K$13="нет","без дифференциации",IF($N$13=0,"",$N$13))</f>
        <v/>
      </c>
      <c r="AL15" s="1226" t="str">
        <f>IF($O$15="нет","без дифференциации",IF($R$15=0,"",$R$15))</f>
        <v/>
      </c>
      <c r="AM15" s="1226" t="str">
        <f>IF($S$15="нет","без дифференциации",IF($V$15=0,"",$V$15))</f>
        <v/>
      </c>
      <c r="AN15" s="1226">
        <f>$I$13</f>
        <v>0</v>
      </c>
      <c r="AO15" s="1226" t="str">
        <f>$I$13&amp;"."&amp;$M$13</f>
        <v>.</v>
      </c>
      <c r="AP15" s="1226" t="str">
        <f>$I$13&amp;"."&amp;$M$13&amp;"."&amp;$Q$15</f>
        <v>..</v>
      </c>
      <c r="AQ15" s="1226" t="str">
        <f>$I$13&amp;"."&amp;$M$13&amp;"."&amp;$Q$15&amp;"."&amp;$U$15</f>
        <v>...</v>
      </c>
    </row>
    <row r="16" spans="1:43" s="1933" customFormat="1" ht="17.25" hidden="1" customHeight="1">
      <c r="A16" s="246"/>
      <c r="C16" s="245"/>
      <c r="D16" s="2027"/>
      <c r="E16" s="2029"/>
      <c r="F16" s="2032"/>
      <c r="G16" s="2034"/>
      <c r="H16" s="2037"/>
      <c r="I16" s="2039"/>
      <c r="J16" s="2042"/>
      <c r="K16" s="2026"/>
      <c r="L16" s="1180"/>
      <c r="M16" s="1180"/>
      <c r="N16" s="1180"/>
      <c r="O16" s="1180"/>
      <c r="P16" s="1180"/>
      <c r="Q16" s="1180"/>
      <c r="R16" s="1180"/>
      <c r="S16" s="255"/>
      <c r="T16" s="255"/>
      <c r="U16" s="255"/>
      <c r="V16" s="255"/>
      <c r="W16" s="1181"/>
      <c r="Y16" s="1140"/>
      <c r="Z16" s="1140"/>
      <c r="AA16" s="1140"/>
      <c r="AB16" s="1140"/>
      <c r="AC16" s="194"/>
      <c r="AD16" s="194"/>
      <c r="AE16" s="194"/>
      <c r="AF16" s="194"/>
      <c r="AG16" s="194"/>
      <c r="AH16" s="194"/>
      <c r="AI16" s="194"/>
      <c r="AJ16" s="194"/>
      <c r="AK16" s="194"/>
      <c r="AL16" s="194"/>
      <c r="AM16" s="194"/>
      <c r="AN16" s="194"/>
      <c r="AO16" s="194"/>
      <c r="AP16" s="194"/>
      <c r="AQ16" s="194"/>
    </row>
    <row r="17" spans="1:43" s="1933" customFormat="1" ht="17.25" hidden="1" customHeight="1">
      <c r="A17" s="246"/>
      <c r="C17" s="245"/>
      <c r="D17" s="2028"/>
      <c r="E17" s="2030"/>
      <c r="F17" s="2033"/>
      <c r="G17" s="2035"/>
      <c r="H17" s="1183"/>
      <c r="I17" s="1184"/>
      <c r="J17" s="1184"/>
      <c r="K17" s="1184"/>
      <c r="L17" s="1184"/>
      <c r="M17" s="1184"/>
      <c r="N17" s="1184"/>
      <c r="O17" s="1184"/>
      <c r="P17" s="1184"/>
      <c r="Q17" s="1184"/>
      <c r="R17" s="1184"/>
      <c r="S17" s="1185"/>
      <c r="T17" s="1185"/>
      <c r="U17" s="1185"/>
      <c r="V17" s="1185"/>
      <c r="W17" s="1186"/>
      <c r="Y17" s="1140"/>
      <c r="Z17" s="1140"/>
      <c r="AA17" s="1140"/>
      <c r="AB17" s="1140"/>
      <c r="AC17" s="194"/>
      <c r="AD17" s="194"/>
      <c r="AE17" s="194"/>
      <c r="AF17" s="194"/>
      <c r="AG17" s="194"/>
      <c r="AH17" s="194"/>
      <c r="AI17" s="194"/>
      <c r="AJ17" s="194"/>
      <c r="AK17" s="194"/>
      <c r="AL17" s="194"/>
      <c r="AM17" s="194"/>
      <c r="AN17" s="194"/>
      <c r="AO17" s="194"/>
      <c r="AP17" s="194"/>
      <c r="AQ17" s="194"/>
    </row>
    <row r="18" spans="1:43" s="1933" customFormat="1" ht="17.25" hidden="1" customHeight="1">
      <c r="A18" s="246"/>
      <c r="C18" s="131"/>
      <c r="D18" s="2027">
        <v>2</v>
      </c>
      <c r="E18" s="2029" t="s">
        <v>163</v>
      </c>
      <c r="F18" s="2031" t="s">
        <v>55</v>
      </c>
      <c r="G18" s="2034"/>
      <c r="H18" s="2036"/>
      <c r="I18" s="2038"/>
      <c r="J18" s="2040"/>
      <c r="K18" s="2025"/>
      <c r="L18" s="2025"/>
      <c r="M18" s="2025"/>
      <c r="N18" s="2043"/>
      <c r="O18" s="2025"/>
      <c r="P18" s="2025"/>
      <c r="Q18" s="2025"/>
      <c r="R18" s="2046"/>
      <c r="S18" s="2025"/>
      <c r="T18" s="1287"/>
      <c r="U18" s="1287"/>
      <c r="V18" s="1286"/>
      <c r="W18" s="1179"/>
      <c r="X18" s="1147"/>
      <c r="Y18" s="1147"/>
      <c r="Z18" s="1147"/>
      <c r="AA18" s="1147"/>
      <c r="AB18" s="1147"/>
      <c r="AC18" s="1226" t="s">
        <v>164</v>
      </c>
      <c r="AD18" s="1226" t="s">
        <v>165</v>
      </c>
      <c r="AE18" s="1226" t="s">
        <v>166</v>
      </c>
      <c r="AF18" s="1226" t="s">
        <v>167</v>
      </c>
      <c r="AG18" s="1226" t="s">
        <v>168</v>
      </c>
      <c r="AH18" s="1226" t="str">
        <f>IF($E$18=0,"",$E$18)</f>
        <v>Тарифы на тепловую энергию (мощность), поставляемую теплоснабжающими организациями потребителям, другим теплоснабжающим организациям</v>
      </c>
      <c r="AI18" s="1226" t="str">
        <f>IF($G$18=0,"",$G$18)</f>
        <v/>
      </c>
      <c r="AJ18" s="1226" t="str">
        <f>IF($J$18=0,"",$J$18)</f>
        <v/>
      </c>
      <c r="AK18" s="1226" t="str">
        <f>IF($K$18="нет","без дифференциации",IF($N$18=0,"",$N$18))</f>
        <v/>
      </c>
      <c r="AL18" s="1226" t="str">
        <f>IF($O$18="нет","без дифференциации",IF($R$18=0,"",$R$18))</f>
        <v/>
      </c>
      <c r="AM18" s="1226" t="str">
        <f>IF($S$18="нет","без дифференциации",IF($V$18=0,"",$V$18))</f>
        <v/>
      </c>
      <c r="AN18" s="1379">
        <f>$I$18</f>
        <v>0</v>
      </c>
      <c r="AO18" s="1226" t="str">
        <f>$I$18&amp;"."&amp;$M$18</f>
        <v>.</v>
      </c>
      <c r="AP18" s="194" t="str">
        <f>$I$18&amp;"."&amp;$M$18&amp;"."&amp;$Q$18</f>
        <v>..</v>
      </c>
      <c r="AQ18" s="194" t="str">
        <f>$I$18&amp;"."&amp;$M$18&amp;"."&amp;$Q$18&amp;"."&amp;$U$18</f>
        <v>...</v>
      </c>
    </row>
    <row r="19" spans="1:43" s="1933" customFormat="1" ht="17.25" hidden="1" customHeight="1">
      <c r="A19" s="246"/>
      <c r="C19" s="245"/>
      <c r="D19" s="2027"/>
      <c r="E19" s="2029"/>
      <c r="F19" s="2032"/>
      <c r="G19" s="2034"/>
      <c r="H19" s="2037"/>
      <c r="I19" s="2039"/>
      <c r="J19" s="2041"/>
      <c r="K19" s="2026"/>
      <c r="L19" s="2026"/>
      <c r="M19" s="2026"/>
      <c r="N19" s="2044"/>
      <c r="O19" s="2026"/>
      <c r="P19" s="2026"/>
      <c r="Q19" s="2026"/>
      <c r="R19" s="2045"/>
      <c r="S19" s="2026"/>
      <c r="T19" s="1180"/>
      <c r="U19" s="1180"/>
      <c r="V19" s="1180"/>
      <c r="W19" s="1181"/>
      <c r="X19" s="1140"/>
      <c r="Y19" s="1140"/>
      <c r="Z19" s="1140"/>
      <c r="AA19" s="1140"/>
      <c r="AB19" s="1140"/>
      <c r="AC19" s="194"/>
      <c r="AD19" s="194"/>
      <c r="AE19" s="194"/>
      <c r="AF19" s="194"/>
      <c r="AG19" s="194"/>
      <c r="AH19" s="194"/>
      <c r="AI19" s="194"/>
      <c r="AJ19" s="194"/>
      <c r="AK19" s="194"/>
      <c r="AL19" s="194"/>
      <c r="AM19" s="194"/>
      <c r="AN19" s="194"/>
      <c r="AO19" s="194"/>
      <c r="AP19" s="194"/>
      <c r="AQ19" s="194"/>
    </row>
    <row r="20" spans="1:43" s="1933" customFormat="1" ht="17.25" hidden="1" customHeight="1">
      <c r="A20" s="246"/>
      <c r="C20" s="245"/>
      <c r="D20" s="2028"/>
      <c r="E20" s="2030"/>
      <c r="F20" s="2032"/>
      <c r="G20" s="2035"/>
      <c r="H20" s="2037"/>
      <c r="I20" s="2039"/>
      <c r="J20" s="2042"/>
      <c r="K20" s="2026"/>
      <c r="L20" s="2026"/>
      <c r="M20" s="2026"/>
      <c r="N20" s="2045"/>
      <c r="O20" s="2026"/>
      <c r="P20" s="1285"/>
      <c r="Q20" s="1180"/>
      <c r="R20" s="1180"/>
      <c r="S20" s="255"/>
      <c r="T20" s="255"/>
      <c r="U20" s="255"/>
      <c r="V20" s="255"/>
      <c r="W20" s="1181"/>
      <c r="X20" s="1140"/>
      <c r="Y20" s="1140"/>
      <c r="Z20" s="1140"/>
      <c r="AA20" s="1140"/>
      <c r="AB20" s="1140"/>
      <c r="AC20" s="194"/>
      <c r="AD20" s="194"/>
      <c r="AE20" s="194"/>
      <c r="AF20" s="194"/>
      <c r="AG20" s="194"/>
      <c r="AH20" s="194"/>
      <c r="AI20" s="194"/>
      <c r="AJ20" s="194"/>
      <c r="AK20" s="194"/>
      <c r="AL20" s="194"/>
      <c r="AM20" s="194"/>
      <c r="AN20" s="194"/>
      <c r="AO20" s="194"/>
      <c r="AP20" s="194"/>
      <c r="AQ20" s="194"/>
    </row>
    <row r="21" spans="1:43" s="1933" customFormat="1" ht="17.25" hidden="1" customHeight="1">
      <c r="A21" s="246"/>
      <c r="C21" s="245"/>
      <c r="D21" s="2028"/>
      <c r="E21" s="2030"/>
      <c r="F21" s="2032"/>
      <c r="G21" s="2035"/>
      <c r="H21" s="2037"/>
      <c r="I21" s="2039"/>
      <c r="J21" s="2042"/>
      <c r="K21" s="2026"/>
      <c r="L21" s="1180"/>
      <c r="M21" s="1180"/>
      <c r="N21" s="1180"/>
      <c r="O21" s="1180"/>
      <c r="P21" s="1180"/>
      <c r="Q21" s="1180"/>
      <c r="R21" s="1180"/>
      <c r="S21" s="255"/>
      <c r="T21" s="255"/>
      <c r="U21" s="255"/>
      <c r="V21" s="255"/>
      <c r="W21" s="1181"/>
      <c r="X21" s="1140"/>
      <c r="Y21" s="1140"/>
      <c r="Z21" s="1140"/>
      <c r="AA21" s="1140"/>
      <c r="AB21" s="1140"/>
      <c r="AC21" s="194"/>
      <c r="AD21" s="194"/>
      <c r="AE21" s="194"/>
      <c r="AF21" s="194"/>
      <c r="AG21" s="194"/>
      <c r="AH21" s="194"/>
      <c r="AI21" s="194"/>
      <c r="AJ21" s="194"/>
      <c r="AK21" s="194"/>
      <c r="AL21" s="194"/>
      <c r="AM21" s="194"/>
      <c r="AN21" s="194"/>
      <c r="AO21" s="194"/>
      <c r="AP21" s="194"/>
      <c r="AQ21" s="194"/>
    </row>
    <row r="22" spans="1:43" s="1933" customFormat="1" ht="17.25" hidden="1" customHeight="1">
      <c r="A22" s="246"/>
      <c r="C22" s="245"/>
      <c r="D22" s="2028"/>
      <c r="E22" s="2030"/>
      <c r="F22" s="2033"/>
      <c r="G22" s="2035"/>
      <c r="H22" s="1183"/>
      <c r="I22" s="1184"/>
      <c r="J22" s="1184"/>
      <c r="K22" s="1184"/>
      <c r="L22" s="1184"/>
      <c r="M22" s="1184"/>
      <c r="N22" s="1184"/>
      <c r="O22" s="1184"/>
      <c r="P22" s="1184"/>
      <c r="Q22" s="1184"/>
      <c r="R22" s="1184"/>
      <c r="S22" s="1185"/>
      <c r="T22" s="1185"/>
      <c r="U22" s="1185"/>
      <c r="V22" s="1185"/>
      <c r="W22" s="1186"/>
      <c r="X22" s="1140"/>
      <c r="Y22" s="1140"/>
      <c r="Z22" s="1140"/>
      <c r="AA22" s="1140"/>
      <c r="AB22" s="1140"/>
      <c r="AC22" s="194"/>
      <c r="AD22" s="194"/>
      <c r="AE22" s="194"/>
      <c r="AF22" s="194"/>
      <c r="AG22" s="194"/>
      <c r="AH22" s="194"/>
      <c r="AI22" s="194"/>
      <c r="AJ22" s="194"/>
      <c r="AK22" s="194"/>
      <c r="AL22" s="194"/>
      <c r="AM22" s="194"/>
      <c r="AN22" s="194"/>
      <c r="AO22" s="194"/>
      <c r="AP22" s="194"/>
      <c r="AQ22" s="194"/>
    </row>
    <row r="23" spans="1:43" s="1933" customFormat="1" ht="17.25" hidden="1" customHeight="1">
      <c r="A23" s="246"/>
      <c r="C23" s="131"/>
      <c r="D23" s="2027">
        <v>3</v>
      </c>
      <c r="E23" s="2029" t="s">
        <v>169</v>
      </c>
      <c r="F23" s="2031" t="s">
        <v>55</v>
      </c>
      <c r="G23" s="2034"/>
      <c r="H23" s="2036"/>
      <c r="I23" s="2038"/>
      <c r="J23" s="2040"/>
      <c r="K23" s="2025"/>
      <c r="L23" s="2025"/>
      <c r="M23" s="2025"/>
      <c r="N23" s="2043"/>
      <c r="O23" s="2025"/>
      <c r="P23" s="2025"/>
      <c r="Q23" s="2025"/>
      <c r="R23" s="2046"/>
      <c r="S23" s="2025"/>
      <c r="T23" s="1287"/>
      <c r="U23" s="1287"/>
      <c r="V23" s="1286"/>
      <c r="W23" s="1179"/>
      <c r="X23" s="1147"/>
      <c r="Y23" s="1147"/>
      <c r="Z23" s="1147"/>
      <c r="AA23" s="1147"/>
      <c r="AB23" s="1147"/>
      <c r="AC23" s="1226" t="s">
        <v>170</v>
      </c>
      <c r="AD23" s="1226" t="s">
        <v>171</v>
      </c>
      <c r="AE23" s="1226" t="s">
        <v>172</v>
      </c>
      <c r="AF23" s="1226" t="s">
        <v>173</v>
      </c>
      <c r="AG23" s="1226" t="s">
        <v>174</v>
      </c>
      <c r="AH23" s="1226" t="str">
        <f>IF($E$23=0,"",$E$23)</f>
        <v>Тарифы на теплоноситель, поставляемый теплоснабжающими организациями потребителям, другим теплоснабжающим организациям</v>
      </c>
      <c r="AI23" s="1226" t="str">
        <f>IF($G$23=0,"",$G$23)</f>
        <v/>
      </c>
      <c r="AJ23" s="1226" t="str">
        <f>IF($J$23=0,"",$J$23)</f>
        <v/>
      </c>
      <c r="AK23" s="1226" t="str">
        <f>IF($K$23="нет","без дифференциации",IF($N$23=0,"",$N$23))</f>
        <v/>
      </c>
      <c r="AL23" s="1226" t="str">
        <f>IF($O$23="нет","без дифференциации",IF($R$23=0,"",$R$23))</f>
        <v/>
      </c>
      <c r="AM23" s="1226" t="str">
        <f>IF($S$23="нет","без дифференциации",IF($V$23=0,"",$V$23))</f>
        <v/>
      </c>
      <c r="AN23" s="1379">
        <f>$I$23</f>
        <v>0</v>
      </c>
      <c r="AO23" s="1226" t="str">
        <f>$I$23&amp;"."&amp;$M$23</f>
        <v>.</v>
      </c>
      <c r="AP23" s="194" t="str">
        <f>$I$23&amp;"."&amp;$M$23&amp;"."&amp;$Q$23</f>
        <v>..</v>
      </c>
      <c r="AQ23" s="194" t="str">
        <f>$I$23&amp;"."&amp;$M$23&amp;"."&amp;$Q$23&amp;"."&amp;$U$23</f>
        <v>...</v>
      </c>
    </row>
    <row r="24" spans="1:43" s="1933" customFormat="1" ht="17.25" hidden="1" customHeight="1">
      <c r="A24" s="246"/>
      <c r="C24" s="245"/>
      <c r="D24" s="2027"/>
      <c r="E24" s="2029"/>
      <c r="F24" s="2032"/>
      <c r="G24" s="2034"/>
      <c r="H24" s="2037"/>
      <c r="I24" s="2039"/>
      <c r="J24" s="2041"/>
      <c r="K24" s="2026"/>
      <c r="L24" s="2026"/>
      <c r="M24" s="2026"/>
      <c r="N24" s="2044"/>
      <c r="O24" s="2026"/>
      <c r="P24" s="2026"/>
      <c r="Q24" s="2026"/>
      <c r="R24" s="2045"/>
      <c r="S24" s="2026"/>
      <c r="T24" s="1180"/>
      <c r="U24" s="1180"/>
      <c r="V24" s="1180"/>
      <c r="W24" s="1181"/>
      <c r="X24" s="1140"/>
      <c r="Y24" s="1140"/>
      <c r="Z24" s="1140"/>
      <c r="AA24" s="1140"/>
      <c r="AB24" s="1140"/>
      <c r="AC24" s="194"/>
      <c r="AD24" s="194"/>
      <c r="AE24" s="194"/>
      <c r="AF24" s="194"/>
      <c r="AG24" s="194"/>
      <c r="AH24" s="194"/>
      <c r="AI24" s="194"/>
      <c r="AJ24" s="194"/>
      <c r="AK24" s="194"/>
      <c r="AL24" s="194"/>
      <c r="AM24" s="194"/>
      <c r="AN24" s="194"/>
      <c r="AO24" s="194"/>
      <c r="AP24" s="194"/>
      <c r="AQ24" s="194"/>
    </row>
    <row r="25" spans="1:43" s="1933" customFormat="1" ht="17.25" hidden="1" customHeight="1">
      <c r="A25" s="246"/>
      <c r="C25" s="245"/>
      <c r="D25" s="2028"/>
      <c r="E25" s="2030"/>
      <c r="F25" s="2032"/>
      <c r="G25" s="2035"/>
      <c r="H25" s="2037"/>
      <c r="I25" s="2039"/>
      <c r="J25" s="2042"/>
      <c r="K25" s="2026"/>
      <c r="L25" s="2026"/>
      <c r="M25" s="2026"/>
      <c r="N25" s="2045"/>
      <c r="O25" s="2026"/>
      <c r="P25" s="1285"/>
      <c r="Q25" s="1180"/>
      <c r="R25" s="1180"/>
      <c r="S25" s="255"/>
      <c r="T25" s="255"/>
      <c r="U25" s="255"/>
      <c r="V25" s="255"/>
      <c r="W25" s="1181"/>
      <c r="X25" s="1140"/>
      <c r="Y25" s="1140"/>
      <c r="Z25" s="1140"/>
      <c r="AA25" s="1140"/>
      <c r="AB25" s="1140"/>
      <c r="AC25" s="194"/>
      <c r="AD25" s="194"/>
      <c r="AE25" s="194"/>
      <c r="AF25" s="194"/>
      <c r="AG25" s="194"/>
      <c r="AH25" s="194"/>
      <c r="AI25" s="194"/>
      <c r="AJ25" s="194"/>
      <c r="AK25" s="194"/>
      <c r="AL25" s="194"/>
      <c r="AM25" s="194"/>
      <c r="AN25" s="194"/>
      <c r="AO25" s="194"/>
      <c r="AP25" s="194"/>
      <c r="AQ25" s="194"/>
    </row>
    <row r="26" spans="1:43" s="1933" customFormat="1" ht="17.25" hidden="1" customHeight="1">
      <c r="A26" s="246"/>
      <c r="C26" s="245"/>
      <c r="D26" s="2028"/>
      <c r="E26" s="2030"/>
      <c r="F26" s="2032"/>
      <c r="G26" s="2035"/>
      <c r="H26" s="2037"/>
      <c r="I26" s="2039"/>
      <c r="J26" s="2042"/>
      <c r="K26" s="2026"/>
      <c r="L26" s="1180"/>
      <c r="M26" s="1180"/>
      <c r="N26" s="1180"/>
      <c r="O26" s="1180"/>
      <c r="P26" s="1180"/>
      <c r="Q26" s="1180"/>
      <c r="R26" s="1180"/>
      <c r="S26" s="255"/>
      <c r="T26" s="255"/>
      <c r="U26" s="255"/>
      <c r="V26" s="255"/>
      <c r="W26" s="1181"/>
      <c r="X26" s="1140"/>
      <c r="Y26" s="1140"/>
      <c r="Z26" s="1140"/>
      <c r="AA26" s="1140"/>
      <c r="AB26" s="1140"/>
      <c r="AC26" s="194"/>
      <c r="AD26" s="194"/>
      <c r="AE26" s="194"/>
      <c r="AF26" s="194"/>
      <c r="AG26" s="194"/>
      <c r="AH26" s="194"/>
      <c r="AI26" s="194"/>
      <c r="AJ26" s="194"/>
      <c r="AK26" s="194"/>
      <c r="AL26" s="194"/>
      <c r="AM26" s="194"/>
      <c r="AN26" s="194"/>
      <c r="AO26" s="194"/>
      <c r="AP26" s="194"/>
      <c r="AQ26" s="194"/>
    </row>
    <row r="27" spans="1:43" s="1933" customFormat="1" ht="17.25" hidden="1" customHeight="1">
      <c r="A27" s="246"/>
      <c r="C27" s="245"/>
      <c r="D27" s="2028"/>
      <c r="E27" s="2030"/>
      <c r="F27" s="2033"/>
      <c r="G27" s="2035"/>
      <c r="H27" s="1183"/>
      <c r="I27" s="1184"/>
      <c r="J27" s="1184"/>
      <c r="K27" s="1184"/>
      <c r="L27" s="1184"/>
      <c r="M27" s="1184"/>
      <c r="N27" s="1184"/>
      <c r="O27" s="1184"/>
      <c r="P27" s="1184"/>
      <c r="Q27" s="1184"/>
      <c r="R27" s="1184"/>
      <c r="S27" s="1185"/>
      <c r="T27" s="1185"/>
      <c r="U27" s="1185"/>
      <c r="V27" s="1185"/>
      <c r="W27" s="1186"/>
      <c r="X27" s="1140"/>
      <c r="Y27" s="1140"/>
      <c r="Z27" s="1140"/>
      <c r="AA27" s="1140"/>
      <c r="AB27" s="1140"/>
      <c r="AC27" s="194"/>
      <c r="AD27" s="194"/>
      <c r="AE27" s="194"/>
      <c r="AF27" s="194"/>
      <c r="AG27" s="194"/>
      <c r="AH27" s="194"/>
      <c r="AI27" s="194"/>
      <c r="AJ27" s="194"/>
      <c r="AK27" s="194"/>
      <c r="AL27" s="194"/>
      <c r="AM27" s="194"/>
      <c r="AN27" s="194"/>
      <c r="AO27" s="194"/>
      <c r="AP27" s="194"/>
      <c r="AQ27" s="194"/>
    </row>
    <row r="28" spans="1:43" s="1933" customFormat="1" ht="17.25" hidden="1" customHeight="1">
      <c r="A28" s="246"/>
      <c r="C28" s="131"/>
      <c r="D28" s="2027">
        <v>4</v>
      </c>
      <c r="E28" s="2029" t="s">
        <v>175</v>
      </c>
      <c r="F28" s="2031" t="s">
        <v>55</v>
      </c>
      <c r="G28" s="2034"/>
      <c r="H28" s="2036"/>
      <c r="I28" s="2038"/>
      <c r="J28" s="2040"/>
      <c r="K28" s="2025"/>
      <c r="L28" s="2025"/>
      <c r="M28" s="2025"/>
      <c r="N28" s="2043"/>
      <c r="O28" s="2025"/>
      <c r="P28" s="2025"/>
      <c r="Q28" s="2025"/>
      <c r="R28" s="2046"/>
      <c r="S28" s="2025"/>
      <c r="T28" s="1287"/>
      <c r="U28" s="1287"/>
      <c r="V28" s="1286"/>
      <c r="W28" s="1179"/>
      <c r="X28" s="1147"/>
      <c r="Y28" s="1147"/>
      <c r="Z28" s="1147"/>
      <c r="AA28" s="1147"/>
      <c r="AB28" s="1147"/>
      <c r="AC28" s="1226" t="s">
        <v>176</v>
      </c>
      <c r="AD28" s="1226" t="s">
        <v>177</v>
      </c>
      <c r="AE28" s="1226" t="s">
        <v>178</v>
      </c>
      <c r="AF28" s="1226" t="s">
        <v>179</v>
      </c>
      <c r="AG28" s="1226" t="s">
        <v>180</v>
      </c>
      <c r="AH28" s="1226" t="str">
        <f>IF($E$28=0,"",$E$28)</f>
        <v>Тарифы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v>
      </c>
      <c r="AI28" s="1226" t="str">
        <f>IF($G$28=0,"",$G$28)</f>
        <v/>
      </c>
      <c r="AJ28" s="1226" t="str">
        <f>IF($J$28=0,"",$J$28)</f>
        <v/>
      </c>
      <c r="AK28" s="1226" t="str">
        <f>IF($K$28="нет","без дифференциации",IF($N$28=0,"",$N$28))</f>
        <v/>
      </c>
      <c r="AL28" s="1226" t="str">
        <f>IF($O$28="нет","без дифференциации",IF($R$28=0,"",$R$28))</f>
        <v/>
      </c>
      <c r="AM28" s="1226" t="str">
        <f>IF($S$28="нет","без дифференциации",IF($V$28=0,"",$V$28))</f>
        <v/>
      </c>
      <c r="AN28" s="1379">
        <f>$I$28</f>
        <v>0</v>
      </c>
      <c r="AO28" s="1226" t="str">
        <f>$I$28&amp;"."&amp;$M$28</f>
        <v>.</v>
      </c>
      <c r="AP28" s="194" t="str">
        <f>$I$28&amp;"."&amp;$M$28&amp;"."&amp;$Q$28</f>
        <v>..</v>
      </c>
      <c r="AQ28" s="194" t="str">
        <f>$I$28&amp;"."&amp;$M$28&amp;"."&amp;$Q$28&amp;"."&amp;$U$28</f>
        <v>...</v>
      </c>
    </row>
    <row r="29" spans="1:43" s="1933" customFormat="1" ht="17.25" hidden="1" customHeight="1">
      <c r="A29" s="246"/>
      <c r="C29" s="245"/>
      <c r="D29" s="2027"/>
      <c r="E29" s="2029"/>
      <c r="F29" s="2032"/>
      <c r="G29" s="2034"/>
      <c r="H29" s="2037"/>
      <c r="I29" s="2039"/>
      <c r="J29" s="2041"/>
      <c r="K29" s="2026"/>
      <c r="L29" s="2026"/>
      <c r="M29" s="2026"/>
      <c r="N29" s="2044"/>
      <c r="O29" s="2026"/>
      <c r="P29" s="2026"/>
      <c r="Q29" s="2026"/>
      <c r="R29" s="2045"/>
      <c r="S29" s="2026"/>
      <c r="T29" s="1180"/>
      <c r="U29" s="1180"/>
      <c r="V29" s="1180"/>
      <c r="W29" s="1181"/>
      <c r="X29" s="1140"/>
      <c r="Y29" s="1140"/>
      <c r="Z29" s="1140"/>
      <c r="AA29" s="1140"/>
      <c r="AB29" s="1140"/>
      <c r="AC29" s="194"/>
      <c r="AD29" s="194"/>
      <c r="AE29" s="194"/>
      <c r="AF29" s="194"/>
      <c r="AG29" s="194"/>
      <c r="AH29" s="194"/>
      <c r="AI29" s="194"/>
      <c r="AJ29" s="194"/>
      <c r="AK29" s="194"/>
      <c r="AL29" s="194"/>
      <c r="AM29" s="194"/>
      <c r="AN29" s="194"/>
      <c r="AO29" s="194"/>
      <c r="AP29" s="194"/>
      <c r="AQ29" s="194"/>
    </row>
    <row r="30" spans="1:43" s="1933" customFormat="1" ht="17.25" hidden="1" customHeight="1">
      <c r="A30" s="246"/>
      <c r="C30" s="245"/>
      <c r="D30" s="2028"/>
      <c r="E30" s="2030"/>
      <c r="F30" s="2032"/>
      <c r="G30" s="2035"/>
      <c r="H30" s="2037"/>
      <c r="I30" s="2039"/>
      <c r="J30" s="2042"/>
      <c r="K30" s="2026"/>
      <c r="L30" s="2026"/>
      <c r="M30" s="2026"/>
      <c r="N30" s="2045"/>
      <c r="O30" s="2026"/>
      <c r="P30" s="1285"/>
      <c r="Q30" s="1180"/>
      <c r="R30" s="1180"/>
      <c r="S30" s="255"/>
      <c r="T30" s="255"/>
      <c r="U30" s="255"/>
      <c r="V30" s="255"/>
      <c r="W30" s="1181"/>
      <c r="X30" s="1140"/>
      <c r="Y30" s="1140"/>
      <c r="Z30" s="1140"/>
      <c r="AA30" s="1140"/>
      <c r="AB30" s="1140"/>
      <c r="AC30" s="194"/>
      <c r="AD30" s="194"/>
      <c r="AE30" s="194"/>
      <c r="AF30" s="194"/>
      <c r="AG30" s="194"/>
      <c r="AH30" s="194"/>
      <c r="AI30" s="194"/>
      <c r="AJ30" s="194"/>
      <c r="AK30" s="194"/>
      <c r="AL30" s="194"/>
      <c r="AM30" s="194"/>
      <c r="AN30" s="194"/>
      <c r="AO30" s="194"/>
      <c r="AP30" s="194"/>
      <c r="AQ30" s="194"/>
    </row>
    <row r="31" spans="1:43" s="1933" customFormat="1" ht="17.25" hidden="1" customHeight="1">
      <c r="A31" s="246"/>
      <c r="C31" s="245"/>
      <c r="D31" s="2028"/>
      <c r="E31" s="2030"/>
      <c r="F31" s="2032"/>
      <c r="G31" s="2035"/>
      <c r="H31" s="2037"/>
      <c r="I31" s="2039"/>
      <c r="J31" s="2042"/>
      <c r="K31" s="2026"/>
      <c r="L31" s="1180"/>
      <c r="M31" s="1180"/>
      <c r="N31" s="1180"/>
      <c r="O31" s="1180"/>
      <c r="P31" s="1180"/>
      <c r="Q31" s="1180"/>
      <c r="R31" s="1180"/>
      <c r="S31" s="255"/>
      <c r="T31" s="255"/>
      <c r="U31" s="255"/>
      <c r="V31" s="255"/>
      <c r="W31" s="1181"/>
      <c r="X31" s="1140"/>
      <c r="Y31" s="1140"/>
      <c r="Z31" s="1140"/>
      <c r="AA31" s="1140"/>
      <c r="AB31" s="1140"/>
      <c r="AC31" s="194"/>
      <c r="AD31" s="194"/>
      <c r="AE31" s="194"/>
      <c r="AF31" s="194"/>
      <c r="AG31" s="194"/>
      <c r="AH31" s="194"/>
      <c r="AI31" s="194"/>
      <c r="AJ31" s="194"/>
      <c r="AK31" s="194"/>
      <c r="AL31" s="194"/>
      <c r="AM31" s="194"/>
      <c r="AN31" s="194"/>
      <c r="AO31" s="194"/>
      <c r="AP31" s="194"/>
      <c r="AQ31" s="194"/>
    </row>
    <row r="32" spans="1:43" s="1933" customFormat="1" ht="17.25" hidden="1" customHeight="1">
      <c r="A32" s="246"/>
      <c r="C32" s="245"/>
      <c r="D32" s="2028"/>
      <c r="E32" s="2030"/>
      <c r="F32" s="2033"/>
      <c r="G32" s="2035"/>
      <c r="H32" s="1183"/>
      <c r="I32" s="1184"/>
      <c r="J32" s="1184"/>
      <c r="K32" s="1184"/>
      <c r="L32" s="1184"/>
      <c r="M32" s="1184"/>
      <c r="N32" s="1184"/>
      <c r="O32" s="1184"/>
      <c r="P32" s="1184"/>
      <c r="Q32" s="1184"/>
      <c r="R32" s="1184"/>
      <c r="S32" s="1185"/>
      <c r="T32" s="1185"/>
      <c r="U32" s="1185"/>
      <c r="V32" s="1185"/>
      <c r="W32" s="1186"/>
      <c r="X32" s="1140"/>
      <c r="Y32" s="1140"/>
      <c r="Z32" s="1140"/>
      <c r="AA32" s="1140"/>
      <c r="AB32" s="1140"/>
      <c r="AC32" s="194"/>
      <c r="AD32" s="194"/>
      <c r="AE32" s="194"/>
      <c r="AF32" s="194"/>
      <c r="AG32" s="194"/>
      <c r="AH32" s="194"/>
      <c r="AI32" s="194"/>
      <c r="AJ32" s="194"/>
      <c r="AK32" s="194"/>
      <c r="AL32" s="194"/>
      <c r="AM32" s="194"/>
      <c r="AN32" s="194"/>
      <c r="AO32" s="194"/>
      <c r="AP32" s="194"/>
      <c r="AQ32" s="194"/>
    </row>
    <row r="33" spans="1:43" s="1933" customFormat="1" ht="17.25" hidden="1" customHeight="1">
      <c r="A33" s="246"/>
      <c r="C33" s="131"/>
      <c r="D33" s="2027">
        <v>5</v>
      </c>
      <c r="E33" s="2029" t="s">
        <v>181</v>
      </c>
      <c r="F33" s="2031" t="s">
        <v>55</v>
      </c>
      <c r="G33" s="2034"/>
      <c r="H33" s="2036"/>
      <c r="I33" s="2038"/>
      <c r="J33" s="2040"/>
      <c r="K33" s="2025"/>
      <c r="L33" s="2025"/>
      <c r="M33" s="2025"/>
      <c r="N33" s="2043"/>
      <c r="O33" s="2025"/>
      <c r="P33" s="2025"/>
      <c r="Q33" s="2025"/>
      <c r="R33" s="2046"/>
      <c r="S33" s="2025"/>
      <c r="T33" s="1287"/>
      <c r="U33" s="1287"/>
      <c r="V33" s="1286"/>
      <c r="W33" s="1179"/>
      <c r="X33" s="1147"/>
      <c r="Y33" s="1147"/>
      <c r="Z33" s="1147"/>
      <c r="AA33" s="1147"/>
      <c r="AB33" s="1147"/>
      <c r="AC33" s="1226" t="s">
        <v>182</v>
      </c>
      <c r="AD33" s="1226" t="s">
        <v>183</v>
      </c>
      <c r="AE33" s="1226" t="s">
        <v>184</v>
      </c>
      <c r="AF33" s="1226" t="s">
        <v>185</v>
      </c>
      <c r="AG33" s="1226" t="s">
        <v>186</v>
      </c>
      <c r="AH33" s="1226" t="str">
        <f>IF($E$33=0,"",$E$33)</f>
        <v>Тарифы на услуги по передаче тепловой энергии</v>
      </c>
      <c r="AI33" s="1226" t="str">
        <f>IF($G$33=0,"",$G$33)</f>
        <v/>
      </c>
      <c r="AJ33" s="1226" t="str">
        <f>IF($J$33=0,"",$J$33)</f>
        <v/>
      </c>
      <c r="AK33" s="1226" t="str">
        <f>IF($K$33="нет","без дифференциации",IF($N$33=0,"",$N$33))</f>
        <v/>
      </c>
      <c r="AL33" s="1226" t="str">
        <f>IF($O$33="нет","без дифференциации",IF($R$33=0,"",$R$33))</f>
        <v/>
      </c>
      <c r="AM33" s="1226" t="str">
        <f>IF($S$33="нет","без дифференциации",IF($V$33=0,"",$V$33))</f>
        <v/>
      </c>
      <c r="AN33" s="1379">
        <f>$I$33</f>
        <v>0</v>
      </c>
      <c r="AO33" s="1226" t="str">
        <f>$I$33&amp;"."&amp;$M$33</f>
        <v>.</v>
      </c>
      <c r="AP33" s="194" t="str">
        <f>$I$33&amp;"."&amp;$M$33&amp;"."&amp;$Q$33</f>
        <v>..</v>
      </c>
      <c r="AQ33" s="194" t="str">
        <f>$I$33&amp;"."&amp;$M$33&amp;"."&amp;$Q$33&amp;"."&amp;$U$33</f>
        <v>...</v>
      </c>
    </row>
    <row r="34" spans="1:43" s="1933" customFormat="1" ht="17.25" hidden="1" customHeight="1">
      <c r="A34" s="246"/>
      <c r="C34" s="245"/>
      <c r="D34" s="2027"/>
      <c r="E34" s="2029"/>
      <c r="F34" s="2032"/>
      <c r="G34" s="2034"/>
      <c r="H34" s="2037"/>
      <c r="I34" s="2039"/>
      <c r="J34" s="2041"/>
      <c r="K34" s="2026"/>
      <c r="L34" s="2026"/>
      <c r="M34" s="2026"/>
      <c r="N34" s="2044"/>
      <c r="O34" s="2026"/>
      <c r="P34" s="2026"/>
      <c r="Q34" s="2026"/>
      <c r="R34" s="2045"/>
      <c r="S34" s="2026"/>
      <c r="T34" s="1180"/>
      <c r="U34" s="1180"/>
      <c r="V34" s="1180"/>
      <c r="W34" s="1181"/>
      <c r="X34" s="1140"/>
      <c r="Y34" s="1140"/>
      <c r="Z34" s="1140"/>
      <c r="AA34" s="1140"/>
      <c r="AB34" s="1140"/>
      <c r="AC34" s="194"/>
      <c r="AD34" s="194"/>
      <c r="AE34" s="194"/>
      <c r="AF34" s="194"/>
      <c r="AG34" s="194"/>
      <c r="AH34" s="194"/>
      <c r="AI34" s="194"/>
      <c r="AJ34" s="194"/>
      <c r="AK34" s="194"/>
      <c r="AL34" s="194"/>
      <c r="AM34" s="194"/>
      <c r="AN34" s="194"/>
      <c r="AO34" s="194"/>
      <c r="AP34" s="194"/>
      <c r="AQ34" s="194"/>
    </row>
    <row r="35" spans="1:43" s="1933" customFormat="1" ht="17.25" hidden="1" customHeight="1">
      <c r="A35" s="246"/>
      <c r="C35" s="245"/>
      <c r="D35" s="2028"/>
      <c r="E35" s="2030"/>
      <c r="F35" s="2032"/>
      <c r="G35" s="2035"/>
      <c r="H35" s="2037"/>
      <c r="I35" s="2039"/>
      <c r="J35" s="2042"/>
      <c r="K35" s="2026"/>
      <c r="L35" s="2026"/>
      <c r="M35" s="2026"/>
      <c r="N35" s="2045"/>
      <c r="O35" s="2026"/>
      <c r="P35" s="1285"/>
      <c r="Q35" s="1180"/>
      <c r="R35" s="1180"/>
      <c r="S35" s="255"/>
      <c r="T35" s="255"/>
      <c r="U35" s="255"/>
      <c r="V35" s="255"/>
      <c r="W35" s="1181"/>
      <c r="X35" s="1140"/>
      <c r="Y35" s="1140"/>
      <c r="Z35" s="1140"/>
      <c r="AA35" s="1140"/>
      <c r="AB35" s="1140"/>
      <c r="AC35" s="194"/>
      <c r="AD35" s="194"/>
      <c r="AE35" s="194"/>
      <c r="AF35" s="194"/>
      <c r="AG35" s="194"/>
      <c r="AH35" s="194"/>
      <c r="AI35" s="194"/>
      <c r="AJ35" s="194"/>
      <c r="AK35" s="194"/>
      <c r="AL35" s="194"/>
      <c r="AM35" s="194"/>
      <c r="AN35" s="194"/>
      <c r="AO35" s="194"/>
      <c r="AP35" s="194"/>
      <c r="AQ35" s="194"/>
    </row>
    <row r="36" spans="1:43" s="1933" customFormat="1" ht="17.25" hidden="1" customHeight="1">
      <c r="A36" s="246"/>
      <c r="C36" s="245"/>
      <c r="D36" s="2028"/>
      <c r="E36" s="2030"/>
      <c r="F36" s="2032"/>
      <c r="G36" s="2035"/>
      <c r="H36" s="2037"/>
      <c r="I36" s="2039"/>
      <c r="J36" s="2042"/>
      <c r="K36" s="2026"/>
      <c r="L36" s="1180"/>
      <c r="M36" s="1180"/>
      <c r="N36" s="1180"/>
      <c r="O36" s="1180"/>
      <c r="P36" s="1180"/>
      <c r="Q36" s="1180"/>
      <c r="R36" s="1180"/>
      <c r="S36" s="255"/>
      <c r="T36" s="255"/>
      <c r="U36" s="255"/>
      <c r="V36" s="255"/>
      <c r="W36" s="1181"/>
      <c r="X36" s="1140"/>
      <c r="Y36" s="1140"/>
      <c r="Z36" s="1140"/>
      <c r="AA36" s="1140"/>
      <c r="AB36" s="1140"/>
      <c r="AC36" s="194"/>
      <c r="AD36" s="194"/>
      <c r="AE36" s="194"/>
      <c r="AF36" s="194"/>
      <c r="AG36" s="194"/>
      <c r="AH36" s="194"/>
      <c r="AI36" s="194"/>
      <c r="AJ36" s="194"/>
      <c r="AK36" s="194"/>
      <c r="AL36" s="194"/>
      <c r="AM36" s="194"/>
      <c r="AN36" s="194"/>
      <c r="AO36" s="194"/>
      <c r="AP36" s="194"/>
      <c r="AQ36" s="194"/>
    </row>
    <row r="37" spans="1:43" s="1933" customFormat="1" ht="17.25" hidden="1" customHeight="1">
      <c r="A37" s="246"/>
      <c r="C37" s="245"/>
      <c r="D37" s="2028"/>
      <c r="E37" s="2030"/>
      <c r="F37" s="2033"/>
      <c r="G37" s="2035"/>
      <c r="H37" s="1183"/>
      <c r="I37" s="1184"/>
      <c r="J37" s="1184"/>
      <c r="K37" s="1184"/>
      <c r="L37" s="1184"/>
      <c r="M37" s="1184"/>
      <c r="N37" s="1184"/>
      <c r="O37" s="1184"/>
      <c r="P37" s="1184"/>
      <c r="Q37" s="1184"/>
      <c r="R37" s="1184"/>
      <c r="S37" s="1185"/>
      <c r="T37" s="1185"/>
      <c r="U37" s="1185"/>
      <c r="V37" s="1185"/>
      <c r="W37" s="1186"/>
      <c r="X37" s="1140"/>
      <c r="Y37" s="1140"/>
      <c r="Z37" s="1140"/>
      <c r="AA37" s="1140"/>
      <c r="AB37" s="1140"/>
      <c r="AC37" s="194"/>
      <c r="AD37" s="194"/>
      <c r="AE37" s="194"/>
      <c r="AF37" s="194"/>
      <c r="AG37" s="194"/>
      <c r="AH37" s="194"/>
      <c r="AI37" s="194"/>
      <c r="AJ37" s="194"/>
      <c r="AK37" s="194"/>
      <c r="AL37" s="194"/>
      <c r="AM37" s="194"/>
      <c r="AN37" s="194"/>
      <c r="AO37" s="194"/>
      <c r="AP37" s="194"/>
      <c r="AQ37" s="194"/>
    </row>
    <row r="38" spans="1:43" s="1933" customFormat="1" ht="17.25" hidden="1" customHeight="1">
      <c r="A38" s="246"/>
      <c r="C38" s="131"/>
      <c r="D38" s="2027">
        <v>6</v>
      </c>
      <c r="E38" s="2029" t="s">
        <v>187</v>
      </c>
      <c r="F38" s="2031" t="s">
        <v>55</v>
      </c>
      <c r="G38" s="2034"/>
      <c r="H38" s="2036"/>
      <c r="I38" s="2038"/>
      <c r="J38" s="2040"/>
      <c r="K38" s="2025"/>
      <c r="L38" s="2025"/>
      <c r="M38" s="2025"/>
      <c r="N38" s="2043"/>
      <c r="O38" s="2025"/>
      <c r="P38" s="2025"/>
      <c r="Q38" s="2025"/>
      <c r="R38" s="2046"/>
      <c r="S38" s="2025"/>
      <c r="T38" s="1287"/>
      <c r="U38" s="1287"/>
      <c r="V38" s="1286"/>
      <c r="W38" s="1179"/>
      <c r="X38" s="1147"/>
      <c r="Y38" s="1147"/>
      <c r="Z38" s="1147"/>
      <c r="AA38" s="1147"/>
      <c r="AB38" s="1147"/>
      <c r="AC38" s="1226" t="s">
        <v>188</v>
      </c>
      <c r="AD38" s="1226" t="s">
        <v>189</v>
      </c>
      <c r="AE38" s="1226" t="s">
        <v>190</v>
      </c>
      <c r="AF38" s="1226" t="s">
        <v>191</v>
      </c>
      <c r="AG38" s="1226" t="s">
        <v>192</v>
      </c>
      <c r="AH38" s="1226" t="str">
        <f>IF($E$38=0,"",$E$38)</f>
        <v>Тарифы на услуги по передаче теплоносителя</v>
      </c>
      <c r="AI38" s="1226" t="str">
        <f>IF($G$38=0,"",$G$38)</f>
        <v/>
      </c>
      <c r="AJ38" s="1226" t="str">
        <f>IF($J$38=0,"",$J$38)</f>
        <v/>
      </c>
      <c r="AK38" s="1226" t="str">
        <f>IF($K$38="нет","без дифференциации",IF($N$38=0,"",$N$38))</f>
        <v/>
      </c>
      <c r="AL38" s="1226" t="str">
        <f>IF($O$38="нет","без дифференциации",IF($R$38=0,"",$R$38))</f>
        <v/>
      </c>
      <c r="AM38" s="1226" t="str">
        <f>IF($S$38="нет","без дифференциации",IF($V$38=0,"",$V$38))</f>
        <v/>
      </c>
      <c r="AN38" s="1379">
        <f>$I$38</f>
        <v>0</v>
      </c>
      <c r="AO38" s="1226" t="str">
        <f>$I$38&amp;"."&amp;$M$38</f>
        <v>.</v>
      </c>
      <c r="AP38" s="194" t="str">
        <f>$I$38&amp;"."&amp;$M$38&amp;"."&amp;$Q$38</f>
        <v>..</v>
      </c>
      <c r="AQ38" s="194" t="str">
        <f>$I$38&amp;"."&amp;$M$38&amp;"."&amp;$Q$38&amp;"."&amp;$U$38</f>
        <v>...</v>
      </c>
    </row>
    <row r="39" spans="1:43" s="1933" customFormat="1" ht="17.25" hidden="1" customHeight="1">
      <c r="A39" s="246"/>
      <c r="C39" s="245"/>
      <c r="D39" s="2027"/>
      <c r="E39" s="2029"/>
      <c r="F39" s="2032"/>
      <c r="G39" s="2034"/>
      <c r="H39" s="2037"/>
      <c r="I39" s="2039"/>
      <c r="J39" s="2041"/>
      <c r="K39" s="2026"/>
      <c r="L39" s="2026"/>
      <c r="M39" s="2026"/>
      <c r="N39" s="2044"/>
      <c r="O39" s="2026"/>
      <c r="P39" s="2026"/>
      <c r="Q39" s="2026"/>
      <c r="R39" s="2045"/>
      <c r="S39" s="2026"/>
      <c r="T39" s="1180"/>
      <c r="U39" s="1180"/>
      <c r="V39" s="1180"/>
      <c r="W39" s="1181"/>
      <c r="X39" s="1140"/>
      <c r="Y39" s="1140"/>
      <c r="Z39" s="1140"/>
      <c r="AA39" s="1140"/>
      <c r="AB39" s="1140"/>
      <c r="AC39" s="194"/>
      <c r="AD39" s="194"/>
      <c r="AE39" s="194"/>
      <c r="AF39" s="194"/>
      <c r="AG39" s="194"/>
      <c r="AH39" s="194"/>
      <c r="AI39" s="194"/>
      <c r="AJ39" s="194"/>
      <c r="AK39" s="194"/>
      <c r="AL39" s="194"/>
      <c r="AM39" s="194"/>
      <c r="AN39" s="194"/>
      <c r="AO39" s="194"/>
      <c r="AP39" s="194"/>
      <c r="AQ39" s="194"/>
    </row>
    <row r="40" spans="1:43" s="1933" customFormat="1" ht="17.25" hidden="1" customHeight="1">
      <c r="A40" s="246"/>
      <c r="C40" s="245"/>
      <c r="D40" s="2028"/>
      <c r="E40" s="2030"/>
      <c r="F40" s="2032"/>
      <c r="G40" s="2035"/>
      <c r="H40" s="2037"/>
      <c r="I40" s="2039"/>
      <c r="J40" s="2042"/>
      <c r="K40" s="2026"/>
      <c r="L40" s="2026"/>
      <c r="M40" s="2026"/>
      <c r="N40" s="2045"/>
      <c r="O40" s="2026"/>
      <c r="P40" s="1285"/>
      <c r="Q40" s="1180"/>
      <c r="R40" s="1180"/>
      <c r="S40" s="255"/>
      <c r="T40" s="255"/>
      <c r="U40" s="255"/>
      <c r="V40" s="255"/>
      <c r="W40" s="1181"/>
      <c r="X40" s="1140"/>
      <c r="Y40" s="1140"/>
      <c r="Z40" s="1140"/>
      <c r="AA40" s="1140"/>
      <c r="AB40" s="1140"/>
      <c r="AC40" s="194"/>
      <c r="AD40" s="194"/>
      <c r="AE40" s="194"/>
      <c r="AF40" s="194"/>
      <c r="AG40" s="194"/>
      <c r="AH40" s="194"/>
      <c r="AI40" s="194"/>
      <c r="AJ40" s="194"/>
      <c r="AK40" s="194"/>
      <c r="AL40" s="194"/>
      <c r="AM40" s="194"/>
      <c r="AN40" s="194"/>
      <c r="AO40" s="194"/>
      <c r="AP40" s="194"/>
      <c r="AQ40" s="194"/>
    </row>
    <row r="41" spans="1:43" s="1933" customFormat="1" ht="17.25" hidden="1" customHeight="1">
      <c r="A41" s="246"/>
      <c r="C41" s="131"/>
      <c r="D41" s="2028"/>
      <c r="E41" s="2030"/>
      <c r="F41" s="2032"/>
      <c r="G41" s="2035"/>
      <c r="H41" s="2037"/>
      <c r="I41" s="2039"/>
      <c r="J41" s="2042"/>
      <c r="K41" s="2026"/>
      <c r="L41" s="1180"/>
      <c r="M41" s="1180"/>
      <c r="N41" s="1180"/>
      <c r="O41" s="1180"/>
      <c r="P41" s="1180"/>
      <c r="Q41" s="1180"/>
      <c r="R41" s="1180"/>
      <c r="S41" s="255"/>
      <c r="T41" s="255"/>
      <c r="U41" s="255"/>
      <c r="V41" s="255"/>
      <c r="W41" s="1181"/>
      <c r="Y41" s="1147"/>
      <c r="Z41" s="1147"/>
      <c r="AA41" s="1147"/>
      <c r="AB41" s="1147"/>
      <c r="AC41" s="1226" t="s">
        <v>188</v>
      </c>
      <c r="AD41" s="1226" t="s">
        <v>189</v>
      </c>
      <c r="AE41" s="1226" t="s">
        <v>193</v>
      </c>
      <c r="AF41" s="1226" t="s">
        <v>194</v>
      </c>
      <c r="AG41" s="1226" t="s">
        <v>195</v>
      </c>
      <c r="AH41" s="1226" t="str">
        <f>IF($E$38=0,"",$E$38)</f>
        <v>Тарифы на услуги по передаче теплоносителя</v>
      </c>
      <c r="AI41" s="1226" t="str">
        <f>IF($G$38=0,"",$G$38)</f>
        <v/>
      </c>
      <c r="AJ41" s="1226" t="str">
        <f>IF($J$38=0,"",$J$38)</f>
        <v/>
      </c>
      <c r="AK41" s="1226" t="str">
        <f>IF($K$41="нет","без дифференциации",IF($N$41=0,"",$N$41))</f>
        <v/>
      </c>
      <c r="AL41" s="1226" t="str">
        <f>IF($O$41="нет","без дифференциации",IF($R$41=0,"",$R$41))</f>
        <v/>
      </c>
      <c r="AM41" s="1226" t="str">
        <f>IF($S$41="нет","без дифференциации",IF($V$41=0,"",$V$41))</f>
        <v/>
      </c>
      <c r="AN41" s="1226">
        <f>$I$38</f>
        <v>0</v>
      </c>
      <c r="AO41" s="1226" t="str">
        <f>$I$38&amp;"."&amp;$M$41</f>
        <v>.</v>
      </c>
      <c r="AP41" s="1226" t="str">
        <f>$I$38&amp;"."&amp;$M$41&amp;"."&amp;$Q$41</f>
        <v>..</v>
      </c>
      <c r="AQ41" s="1226" t="str">
        <f>$I$38&amp;"."&amp;$M$41&amp;"."&amp;$Q$41&amp;"."&amp;$U$41</f>
        <v>...</v>
      </c>
    </row>
    <row r="42" spans="1:43" s="1933" customFormat="1" ht="17.25" hidden="1" customHeight="1">
      <c r="A42" s="246"/>
      <c r="C42" s="245"/>
      <c r="D42" s="2028"/>
      <c r="E42" s="2030"/>
      <c r="F42" s="2033"/>
      <c r="G42" s="2035"/>
      <c r="H42" s="1183"/>
      <c r="I42" s="1184"/>
      <c r="J42" s="1184"/>
      <c r="K42" s="1184"/>
      <c r="L42" s="1184"/>
      <c r="M42" s="1184"/>
      <c r="N42" s="1184"/>
      <c r="O42" s="1184"/>
      <c r="P42" s="1184"/>
      <c r="Q42" s="1184"/>
      <c r="R42" s="1184"/>
      <c r="S42" s="1185"/>
      <c r="T42" s="1185"/>
      <c r="U42" s="1185"/>
      <c r="V42" s="1185"/>
      <c r="W42" s="1186"/>
      <c r="X42" s="1140"/>
      <c r="Y42" s="1140"/>
      <c r="Z42" s="1140"/>
      <c r="AA42" s="1140"/>
      <c r="AB42" s="1140"/>
      <c r="AC42" s="194"/>
      <c r="AD42" s="194"/>
      <c r="AE42" s="194"/>
      <c r="AF42" s="194"/>
      <c r="AG42" s="194"/>
      <c r="AH42" s="194"/>
      <c r="AI42" s="194"/>
      <c r="AJ42" s="194"/>
      <c r="AK42" s="194"/>
      <c r="AL42" s="194"/>
      <c r="AM42" s="194"/>
      <c r="AN42" s="194"/>
      <c r="AO42" s="194"/>
      <c r="AP42" s="194"/>
      <c r="AQ42" s="194"/>
    </row>
    <row r="43" spans="1:43" s="1933" customFormat="1" ht="17.25" hidden="1" customHeight="1">
      <c r="A43" s="246"/>
      <c r="C43" s="131"/>
      <c r="D43" s="2050">
        <v>7</v>
      </c>
      <c r="E43" s="2053" t="s">
        <v>196</v>
      </c>
      <c r="F43" s="2031" t="s">
        <v>55</v>
      </c>
      <c r="G43" s="2056"/>
      <c r="H43" s="2036"/>
      <c r="I43" s="2038"/>
      <c r="J43" s="2040"/>
      <c r="K43" s="2025"/>
      <c r="L43" s="2025"/>
      <c r="M43" s="2025"/>
      <c r="N43" s="2043"/>
      <c r="O43" s="2025"/>
      <c r="P43" s="2025"/>
      <c r="Q43" s="2025"/>
      <c r="R43" s="2046"/>
      <c r="S43" s="2025"/>
      <c r="T43" s="1287"/>
      <c r="U43" s="1287"/>
      <c r="V43" s="1286"/>
      <c r="W43" s="1179"/>
      <c r="X43" s="1147"/>
      <c r="Y43" s="1147"/>
      <c r="Z43" s="1147"/>
      <c r="AA43" s="1147"/>
      <c r="AB43" s="1147"/>
      <c r="AC43" s="1226" t="s">
        <v>197</v>
      </c>
      <c r="AD43" s="1226" t="s">
        <v>198</v>
      </c>
      <c r="AE43" s="1226" t="s">
        <v>199</v>
      </c>
      <c r="AF43" s="1226" t="s">
        <v>200</v>
      </c>
      <c r="AG43" s="1226" t="s">
        <v>201</v>
      </c>
      <c r="AH43" s="1226" t="str">
        <f>IF($E$43=0,"",$E$43)</f>
        <v>Плата за услуги по поддержанию резервной тепловой мощности при отсутствии потребления тепловой энергии</v>
      </c>
      <c r="AI43" s="1226" t="str">
        <f>IF($G$43=0,"",$G$43)</f>
        <v/>
      </c>
      <c r="AJ43" s="1226" t="str">
        <f>IF($J$43=0,"",$J$43)</f>
        <v/>
      </c>
      <c r="AK43" s="1226" t="str">
        <f>IF($K$43="нет","без дифференциации",IF($N$43=0,"",$N$43))</f>
        <v/>
      </c>
      <c r="AL43" s="1226" t="str">
        <f>IF($O$43="нет","без дифференциации",IF($R$43=0,"",$R$43))</f>
        <v/>
      </c>
      <c r="AM43" s="1226" t="str">
        <f>IF($S$43="нет","без дифференциации",IF($V$43=0,"",$V$43))</f>
        <v/>
      </c>
      <c r="AN43" s="1379">
        <f>$I$43</f>
        <v>0</v>
      </c>
      <c r="AO43" s="1226" t="str">
        <f>$I$43&amp;"."&amp;$M$43</f>
        <v>.</v>
      </c>
      <c r="AP43" s="194" t="str">
        <f>$I$43&amp;"."&amp;$M$43&amp;"."&amp;$Q$43</f>
        <v>..</v>
      </c>
      <c r="AQ43" s="194" t="str">
        <f>$I$43&amp;"."&amp;$M$43&amp;"."&amp;$Q$43&amp;"."&amp;$U$43</f>
        <v>...</v>
      </c>
    </row>
    <row r="44" spans="1:43" s="1933" customFormat="1" ht="17.25" hidden="1" customHeight="1">
      <c r="A44" s="246"/>
      <c r="C44" s="245"/>
      <c r="D44" s="2051"/>
      <c r="E44" s="2054"/>
      <c r="F44" s="2032"/>
      <c r="G44" s="2057"/>
      <c r="H44" s="2037"/>
      <c r="I44" s="2039"/>
      <c r="J44" s="2041"/>
      <c r="K44" s="2026"/>
      <c r="L44" s="2026"/>
      <c r="M44" s="2026"/>
      <c r="N44" s="2044"/>
      <c r="O44" s="2026"/>
      <c r="P44" s="2026"/>
      <c r="Q44" s="2026"/>
      <c r="R44" s="2045"/>
      <c r="S44" s="2026"/>
      <c r="T44" s="1180"/>
      <c r="U44" s="1180"/>
      <c r="V44" s="1180"/>
      <c r="W44" s="1181"/>
      <c r="X44" s="1140"/>
      <c r="Y44" s="1140"/>
      <c r="Z44" s="1140"/>
      <c r="AA44" s="1140"/>
      <c r="AB44" s="1140"/>
      <c r="AC44" s="194"/>
      <c r="AD44" s="194"/>
      <c r="AE44" s="194"/>
      <c r="AF44" s="194"/>
      <c r="AG44" s="194"/>
      <c r="AH44" s="194"/>
      <c r="AI44" s="194"/>
      <c r="AJ44" s="194"/>
      <c r="AK44" s="194"/>
      <c r="AL44" s="194"/>
      <c r="AM44" s="194"/>
      <c r="AN44" s="194"/>
      <c r="AO44" s="194"/>
      <c r="AP44" s="194"/>
      <c r="AQ44" s="194"/>
    </row>
    <row r="45" spans="1:43" s="1933" customFormat="1" ht="17.25" hidden="1" customHeight="1">
      <c r="A45" s="246"/>
      <c r="C45" s="245"/>
      <c r="D45" s="2051"/>
      <c r="E45" s="2054"/>
      <c r="F45" s="2032"/>
      <c r="G45" s="2057"/>
      <c r="H45" s="2037"/>
      <c r="I45" s="2039"/>
      <c r="J45" s="2042"/>
      <c r="K45" s="2026"/>
      <c r="L45" s="2026"/>
      <c r="M45" s="2026"/>
      <c r="N45" s="2045"/>
      <c r="O45" s="2026"/>
      <c r="P45" s="1285"/>
      <c r="Q45" s="1180"/>
      <c r="R45" s="1180"/>
      <c r="S45" s="255"/>
      <c r="T45" s="255"/>
      <c r="U45" s="255"/>
      <c r="V45" s="255"/>
      <c r="W45" s="1181"/>
      <c r="X45" s="1140"/>
      <c r="Y45" s="1140"/>
      <c r="Z45" s="1140"/>
      <c r="AA45" s="1140"/>
      <c r="AB45" s="1140"/>
      <c r="AC45" s="194"/>
      <c r="AD45" s="194"/>
      <c r="AE45" s="194"/>
      <c r="AF45" s="194"/>
      <c r="AG45" s="194"/>
      <c r="AH45" s="194"/>
      <c r="AI45" s="194"/>
      <c r="AJ45" s="194"/>
      <c r="AK45" s="194"/>
      <c r="AL45" s="194"/>
      <c r="AM45" s="194"/>
      <c r="AN45" s="194"/>
      <c r="AO45" s="194"/>
      <c r="AP45" s="194"/>
      <c r="AQ45" s="194"/>
    </row>
    <row r="46" spans="1:43" s="1933" customFormat="1" ht="17.25" hidden="1" customHeight="1">
      <c r="A46" s="246"/>
      <c r="C46" s="131"/>
      <c r="D46" s="2051"/>
      <c r="E46" s="2054"/>
      <c r="F46" s="2032"/>
      <c r="G46" s="2057"/>
      <c r="H46" s="2037"/>
      <c r="I46" s="2039"/>
      <c r="J46" s="2042"/>
      <c r="K46" s="2026"/>
      <c r="L46" s="1180"/>
      <c r="M46" s="1180"/>
      <c r="N46" s="1180"/>
      <c r="O46" s="1180"/>
      <c r="P46" s="1180"/>
      <c r="Q46" s="1180"/>
      <c r="R46" s="1180"/>
      <c r="S46" s="255"/>
      <c r="T46" s="255"/>
      <c r="U46" s="255"/>
      <c r="V46" s="255"/>
      <c r="W46" s="1181"/>
      <c r="Y46" s="1147"/>
      <c r="Z46" s="1147"/>
      <c r="AA46" s="1147"/>
      <c r="AB46" s="1147"/>
      <c r="AC46" s="1226"/>
      <c r="AD46" s="1226"/>
      <c r="AE46" s="1226"/>
      <c r="AF46" s="1226"/>
      <c r="AG46" s="1226"/>
      <c r="AH46" s="1226"/>
      <c r="AI46" s="1226"/>
      <c r="AJ46" s="1226"/>
      <c r="AK46" s="1226"/>
      <c r="AL46" s="1226"/>
      <c r="AM46" s="1226"/>
      <c r="AN46" s="1226"/>
      <c r="AO46" s="1226"/>
      <c r="AP46" s="1226"/>
      <c r="AQ46" s="1226"/>
    </row>
    <row r="47" spans="1:43" s="1933" customFormat="1" ht="17.25" hidden="1" customHeight="1">
      <c r="A47" s="246"/>
      <c r="C47" s="245"/>
      <c r="D47" s="2052"/>
      <c r="E47" s="2055"/>
      <c r="F47" s="2033"/>
      <c r="G47" s="2058"/>
      <c r="H47" s="1183"/>
      <c r="I47" s="1184"/>
      <c r="J47" s="1184"/>
      <c r="K47" s="1184"/>
      <c r="L47" s="1184"/>
      <c r="M47" s="1184"/>
      <c r="N47" s="1184"/>
      <c r="O47" s="1184"/>
      <c r="P47" s="1184"/>
      <c r="Q47" s="1184"/>
      <c r="R47" s="1184"/>
      <c r="S47" s="1185"/>
      <c r="T47" s="1185"/>
      <c r="U47" s="1185"/>
      <c r="V47" s="1185"/>
      <c r="W47" s="1186"/>
      <c r="X47" s="1140"/>
      <c r="Y47" s="1140"/>
      <c r="Z47" s="1140"/>
      <c r="AA47" s="1140"/>
      <c r="AB47" s="1140"/>
      <c r="AC47" s="194"/>
      <c r="AD47" s="194"/>
      <c r="AE47" s="194"/>
      <c r="AF47" s="194"/>
      <c r="AG47" s="194"/>
      <c r="AH47" s="194"/>
      <c r="AI47" s="194"/>
      <c r="AJ47" s="194"/>
      <c r="AK47" s="194"/>
      <c r="AL47" s="194"/>
      <c r="AM47" s="194"/>
      <c r="AN47" s="194"/>
      <c r="AO47" s="194"/>
      <c r="AP47" s="194"/>
      <c r="AQ47" s="194"/>
    </row>
    <row r="48" spans="1:43" s="1933" customFormat="1" ht="17.25" hidden="1" customHeight="1">
      <c r="A48" s="246"/>
      <c r="C48" s="131"/>
      <c r="D48" s="2027">
        <v>8</v>
      </c>
      <c r="E48" s="2029" t="s">
        <v>202</v>
      </c>
      <c r="F48" s="2031" t="s">
        <v>55</v>
      </c>
      <c r="G48" s="2034"/>
      <c r="H48" s="2036"/>
      <c r="I48" s="2038"/>
      <c r="J48" s="2040"/>
      <c r="K48" s="2025"/>
      <c r="L48" s="2025"/>
      <c r="M48" s="2025"/>
      <c r="N48" s="2043"/>
      <c r="O48" s="2025"/>
      <c r="P48" s="2025"/>
      <c r="Q48" s="2025"/>
      <c r="R48" s="2046"/>
      <c r="S48" s="2025"/>
      <c r="T48" s="1331"/>
      <c r="U48" s="1331"/>
      <c r="V48" s="1333"/>
      <c r="W48" s="1179"/>
      <c r="X48" s="1147"/>
      <c r="Y48" s="1147"/>
      <c r="Z48" s="1147"/>
      <c r="AA48" s="1147"/>
      <c r="AB48" s="1147"/>
      <c r="AC48" s="1226" t="s">
        <v>203</v>
      </c>
      <c r="AD48" s="1226" t="s">
        <v>204</v>
      </c>
      <c r="AE48" s="1226" t="s">
        <v>205</v>
      </c>
      <c r="AF48" s="1226" t="s">
        <v>206</v>
      </c>
      <c r="AG48" s="1226" t="s">
        <v>207</v>
      </c>
      <c r="AH48" s="1226" t="str">
        <f>IF($E$48=0,"",$E$48)</f>
        <v>Плата за подключение (технологическое присоединение) к системе теплоснабжения</v>
      </c>
      <c r="AI48" s="1226" t="str">
        <f>IF($G$48=0,"",$G$48)</f>
        <v/>
      </c>
      <c r="AJ48" s="1226" t="str">
        <f>IF($J$48=0,"",$J$48)</f>
        <v/>
      </c>
      <c r="AK48" s="1226" t="str">
        <f>IF($K$48="нет","без дифференциации",IF($N$48=0,"",$N$48))</f>
        <v/>
      </c>
      <c r="AL48" s="1226" t="str">
        <f>IF($O$48="нет","без дифференциации",IF($R$48=0,"",$R$48))</f>
        <v/>
      </c>
      <c r="AM48" s="1226" t="str">
        <f>IF($S$48="нет","без дифференциации",IF($V$48=0,"",$V$48))</f>
        <v/>
      </c>
      <c r="AN48" s="1379">
        <f>$I$48</f>
        <v>0</v>
      </c>
      <c r="AO48" s="1226" t="str">
        <f>$I$48&amp;"."&amp;$M$48</f>
        <v>.</v>
      </c>
      <c r="AP48" s="194" t="str">
        <f>$I$48&amp;"."&amp;$M$48&amp;"."&amp;$Q$48</f>
        <v>..</v>
      </c>
      <c r="AQ48" s="194" t="str">
        <f>$I$48&amp;"."&amp;$M$48&amp;"."&amp;$Q$48&amp;"."&amp;$U$48</f>
        <v>...</v>
      </c>
    </row>
    <row r="49" spans="1:43" s="1933" customFormat="1" ht="17.25" hidden="1" customHeight="1">
      <c r="A49" s="246"/>
      <c r="C49" s="245"/>
      <c r="D49" s="2027"/>
      <c r="E49" s="2029"/>
      <c r="F49" s="2032"/>
      <c r="G49" s="2034"/>
      <c r="H49" s="2037"/>
      <c r="I49" s="2039"/>
      <c r="J49" s="2041"/>
      <c r="K49" s="2026"/>
      <c r="L49" s="2026"/>
      <c r="M49" s="2026"/>
      <c r="N49" s="2044"/>
      <c r="O49" s="2026"/>
      <c r="P49" s="2026"/>
      <c r="Q49" s="2026"/>
      <c r="R49" s="2045"/>
      <c r="S49" s="2026"/>
      <c r="T49" s="1180"/>
      <c r="U49" s="1180"/>
      <c r="V49" s="1180"/>
      <c r="W49" s="1181"/>
      <c r="X49" s="1140"/>
      <c r="Y49" s="1140"/>
      <c r="Z49" s="1140"/>
      <c r="AA49" s="1140"/>
      <c r="AB49" s="1140"/>
      <c r="AC49" s="194"/>
      <c r="AD49" s="194"/>
      <c r="AE49" s="194"/>
      <c r="AF49" s="194"/>
      <c r="AG49" s="194"/>
      <c r="AH49" s="194"/>
      <c r="AI49" s="194"/>
      <c r="AJ49" s="194"/>
      <c r="AK49" s="194"/>
      <c r="AL49" s="194"/>
      <c r="AM49" s="194"/>
      <c r="AN49" s="194"/>
      <c r="AO49" s="194"/>
      <c r="AP49" s="194"/>
      <c r="AQ49" s="194"/>
    </row>
    <row r="50" spans="1:43" s="1933" customFormat="1" ht="17.25" hidden="1" customHeight="1">
      <c r="A50" s="246"/>
      <c r="C50" s="245"/>
      <c r="D50" s="2028"/>
      <c r="E50" s="2030"/>
      <c r="F50" s="2032"/>
      <c r="G50" s="2035"/>
      <c r="H50" s="2037"/>
      <c r="I50" s="2039"/>
      <c r="J50" s="2042"/>
      <c r="K50" s="2026"/>
      <c r="L50" s="2026"/>
      <c r="M50" s="2026"/>
      <c r="N50" s="2045"/>
      <c r="O50" s="2026"/>
      <c r="P50" s="1332"/>
      <c r="Q50" s="1180"/>
      <c r="R50" s="1180"/>
      <c r="S50" s="255"/>
      <c r="T50" s="255"/>
      <c r="U50" s="255"/>
      <c r="V50" s="255"/>
      <c r="W50" s="1181"/>
      <c r="X50" s="1140"/>
      <c r="Y50" s="1140"/>
      <c r="Z50" s="1140"/>
      <c r="AA50" s="1140"/>
      <c r="AB50" s="1140"/>
      <c r="AC50" s="194"/>
      <c r="AD50" s="194"/>
      <c r="AE50" s="194"/>
      <c r="AF50" s="194"/>
      <c r="AG50" s="194"/>
      <c r="AH50" s="194"/>
      <c r="AI50" s="194"/>
      <c r="AJ50" s="194"/>
      <c r="AK50" s="194"/>
      <c r="AL50" s="194"/>
      <c r="AM50" s="194"/>
      <c r="AN50" s="194"/>
      <c r="AO50" s="194"/>
      <c r="AP50" s="194"/>
      <c r="AQ50" s="194"/>
    </row>
    <row r="51" spans="1:43" s="1933" customFormat="1" ht="17.25" hidden="1" customHeight="1">
      <c r="A51" s="246"/>
      <c r="C51" s="131"/>
      <c r="D51" s="2028"/>
      <c r="E51" s="2030"/>
      <c r="F51" s="2032"/>
      <c r="G51" s="2035"/>
      <c r="H51" s="2037"/>
      <c r="I51" s="2039"/>
      <c r="J51" s="2042"/>
      <c r="K51" s="2026"/>
      <c r="L51" s="1180"/>
      <c r="M51" s="1180"/>
      <c r="N51" s="1180"/>
      <c r="O51" s="1180"/>
      <c r="P51" s="1180"/>
      <c r="Q51" s="1180"/>
      <c r="R51" s="1180"/>
      <c r="S51" s="255"/>
      <c r="T51" s="255"/>
      <c r="U51" s="255"/>
      <c r="V51" s="255"/>
      <c r="W51" s="1181"/>
      <c r="Y51" s="1147"/>
      <c r="Z51" s="1147"/>
      <c r="AA51" s="1147"/>
      <c r="AB51" s="1147"/>
      <c r="AC51" s="1226"/>
      <c r="AD51" s="1226"/>
      <c r="AE51" s="1226"/>
      <c r="AF51" s="1226"/>
      <c r="AG51" s="1226"/>
      <c r="AH51" s="1226"/>
      <c r="AI51" s="1226"/>
      <c r="AJ51" s="1226"/>
      <c r="AK51" s="1226"/>
      <c r="AL51" s="1226"/>
      <c r="AM51" s="1226"/>
      <c r="AN51" s="1226"/>
      <c r="AO51" s="1226"/>
      <c r="AP51" s="1226"/>
      <c r="AQ51" s="1226"/>
    </row>
    <row r="52" spans="1:43" s="1933" customFormat="1" ht="17.25" hidden="1" customHeight="1">
      <c r="A52" s="246"/>
      <c r="C52" s="245"/>
      <c r="D52" s="2028"/>
      <c r="E52" s="2030"/>
      <c r="F52" s="2033"/>
      <c r="G52" s="2035"/>
      <c r="H52" s="1183"/>
      <c r="I52" s="1184"/>
      <c r="J52" s="1184"/>
      <c r="K52" s="1184"/>
      <c r="L52" s="1184"/>
      <c r="M52" s="1184"/>
      <c r="N52" s="1184"/>
      <c r="O52" s="1184"/>
      <c r="P52" s="1184"/>
      <c r="Q52" s="1184"/>
      <c r="R52" s="1184"/>
      <c r="S52" s="1185"/>
      <c r="T52" s="1185"/>
      <c r="U52" s="1185"/>
      <c r="V52" s="1185"/>
      <c r="W52" s="1186"/>
      <c r="X52" s="1140"/>
      <c r="Y52" s="1140"/>
      <c r="Z52" s="1140"/>
      <c r="AA52" s="1140"/>
      <c r="AB52" s="1140"/>
      <c r="AC52" s="194"/>
      <c r="AD52" s="194"/>
      <c r="AE52" s="194"/>
      <c r="AF52" s="194"/>
      <c r="AG52" s="194"/>
      <c r="AH52" s="194"/>
      <c r="AI52" s="194"/>
      <c r="AJ52" s="194"/>
      <c r="AK52" s="194"/>
      <c r="AL52" s="194"/>
      <c r="AM52" s="194"/>
      <c r="AN52" s="194"/>
      <c r="AO52" s="194"/>
      <c r="AP52" s="194"/>
      <c r="AQ52" s="194"/>
    </row>
    <row r="53" spans="1:43" ht="11.25" hidden="1" customHeight="1"/>
    <row r="54" spans="1:43" ht="11.25" hidden="1" customHeight="1">
      <c r="E54" s="2049" t="s">
        <v>208</v>
      </c>
      <c r="F54" s="2049"/>
      <c r="G54" s="2049"/>
      <c r="H54" s="2049"/>
      <c r="I54" s="2049"/>
      <c r="J54" s="2049"/>
      <c r="K54" s="2049"/>
      <c r="L54" s="2049"/>
      <c r="M54" s="2049"/>
      <c r="N54" s="2049"/>
      <c r="O54" s="2049"/>
      <c r="P54" s="2049"/>
      <c r="Q54" s="2049"/>
      <c r="R54" s="2049"/>
      <c r="S54" s="2049"/>
      <c r="T54" s="2049"/>
      <c r="U54" s="2049"/>
      <c r="V54" s="2049"/>
      <c r="W54" s="2049"/>
    </row>
    <row r="55" spans="1:43" ht="36.75" hidden="1" customHeight="1">
      <c r="E55" s="2047" t="s">
        <v>209</v>
      </c>
      <c r="F55" s="2047"/>
      <c r="G55" s="2048"/>
      <c r="H55" s="2048"/>
      <c r="I55" s="2048"/>
      <c r="J55" s="2048"/>
      <c r="K55" s="2048"/>
      <c r="L55" s="2048"/>
      <c r="M55" s="2048"/>
      <c r="N55" s="2048"/>
      <c r="O55" s="2048"/>
      <c r="P55" s="2048"/>
      <c r="Q55" s="2048"/>
      <c r="R55" s="2048"/>
      <c r="S55" s="2048"/>
      <c r="T55" s="2048"/>
      <c r="U55" s="2048"/>
      <c r="V55" s="2048"/>
      <c r="W55" s="2048"/>
    </row>
    <row r="56" spans="1:43" ht="28.5" hidden="1" customHeight="1">
      <c r="E56" s="2047" t="s">
        <v>210</v>
      </c>
      <c r="F56" s="2047"/>
      <c r="G56" s="2048"/>
      <c r="H56" s="2048"/>
      <c r="I56" s="2048"/>
      <c r="J56" s="2048"/>
      <c r="K56" s="2048"/>
      <c r="L56" s="2048"/>
      <c r="M56" s="2048"/>
      <c r="N56" s="2048"/>
      <c r="O56" s="2048"/>
      <c r="P56" s="2048"/>
      <c r="Q56" s="2048"/>
      <c r="R56" s="2048"/>
      <c r="S56" s="2048"/>
      <c r="T56" s="2048"/>
      <c r="U56" s="2048"/>
      <c r="V56" s="2048"/>
      <c r="W56" s="2048"/>
    </row>
    <row r="57" spans="1:43" ht="27" hidden="1" customHeight="1">
      <c r="E57" s="2047" t="s">
        <v>211</v>
      </c>
      <c r="F57" s="2047"/>
      <c r="G57" s="2048"/>
      <c r="H57" s="2048"/>
      <c r="I57" s="2048"/>
      <c r="J57" s="2048"/>
      <c r="K57" s="2048"/>
      <c r="L57" s="2048"/>
      <c r="M57" s="2048"/>
      <c r="N57" s="2048"/>
      <c r="O57" s="2048"/>
      <c r="P57" s="2048"/>
      <c r="Q57" s="2048"/>
      <c r="R57" s="2048"/>
      <c r="S57" s="2048"/>
      <c r="T57" s="2048"/>
      <c r="U57" s="2048"/>
      <c r="V57" s="2048"/>
      <c r="W57" s="2048"/>
    </row>
    <row r="58" spans="1:43" ht="17.25" hidden="1" customHeight="1">
      <c r="E58" s="2047" t="s">
        <v>212</v>
      </c>
      <c r="F58" s="2047"/>
      <c r="G58" s="2048"/>
      <c r="H58" s="2048"/>
      <c r="I58" s="2048"/>
      <c r="J58" s="2048"/>
      <c r="K58" s="2048"/>
      <c r="L58" s="2048"/>
      <c r="M58" s="2048"/>
      <c r="N58" s="2048"/>
      <c r="O58" s="2048"/>
      <c r="P58" s="2048"/>
      <c r="Q58" s="2048"/>
      <c r="R58" s="2048"/>
      <c r="S58" s="2048"/>
      <c r="T58" s="2048"/>
      <c r="U58" s="2048"/>
      <c r="V58" s="2048"/>
      <c r="W58" s="2048"/>
    </row>
    <row r="59" spans="1:43" ht="15" hidden="1" customHeight="1">
      <c r="E59" s="265"/>
      <c r="F59" s="1165"/>
      <c r="G59" s="86"/>
      <c r="H59" s="86"/>
      <c r="I59" s="86"/>
      <c r="J59" s="86"/>
      <c r="K59" s="86"/>
      <c r="L59" s="86"/>
      <c r="M59" s="86"/>
      <c r="N59" s="86"/>
      <c r="O59" s="86"/>
      <c r="P59" s="86"/>
      <c r="Q59" s="86"/>
      <c r="R59" s="86"/>
      <c r="S59" s="86"/>
      <c r="T59" s="86"/>
      <c r="U59" s="86"/>
      <c r="V59" s="86"/>
      <c r="W59" s="86"/>
    </row>
    <row r="60" spans="1:43" ht="15" hidden="1" customHeight="1">
      <c r="E60" s="2049" t="s">
        <v>213</v>
      </c>
      <c r="F60" s="2049"/>
      <c r="G60" s="2049"/>
      <c r="H60" s="2049"/>
      <c r="I60" s="2049"/>
      <c r="J60" s="2049"/>
      <c r="K60" s="2049"/>
      <c r="L60" s="2049"/>
      <c r="M60" s="2049"/>
      <c r="N60" s="2049"/>
      <c r="O60" s="2049"/>
      <c r="P60" s="2049"/>
      <c r="Q60" s="2049"/>
      <c r="R60" s="2049"/>
      <c r="S60" s="2049"/>
      <c r="T60" s="2049"/>
      <c r="U60" s="2049"/>
      <c r="V60" s="2049"/>
      <c r="W60" s="2049"/>
    </row>
    <row r="61" spans="1:43" ht="17.25" hidden="1" customHeight="1">
      <c r="E61" s="2047" t="s">
        <v>214</v>
      </c>
      <c r="F61" s="2047"/>
      <c r="G61" s="2048"/>
      <c r="H61" s="2048"/>
      <c r="I61" s="2048"/>
      <c r="J61" s="2048"/>
      <c r="K61" s="2048"/>
      <c r="L61" s="2048"/>
      <c r="M61" s="2048"/>
      <c r="N61" s="2048"/>
      <c r="O61" s="2048"/>
      <c r="P61" s="2048"/>
      <c r="Q61" s="2048"/>
      <c r="R61" s="2048"/>
      <c r="S61" s="2048"/>
      <c r="T61" s="2048"/>
      <c r="U61" s="2048"/>
      <c r="V61" s="2048"/>
      <c r="W61" s="2048"/>
    </row>
    <row r="62" spans="1:43" ht="17.25" hidden="1" customHeight="1">
      <c r="E62" s="2047" t="s">
        <v>215</v>
      </c>
      <c r="F62" s="2047"/>
      <c r="G62" s="2048"/>
      <c r="H62" s="2048"/>
      <c r="I62" s="2048"/>
      <c r="J62" s="2048"/>
      <c r="K62" s="2048"/>
      <c r="L62" s="2048"/>
      <c r="M62" s="2048"/>
      <c r="N62" s="2048"/>
      <c r="O62" s="2048"/>
      <c r="P62" s="2048"/>
      <c r="Q62" s="2048"/>
      <c r="R62" s="2048"/>
      <c r="S62" s="2048"/>
      <c r="T62" s="2048"/>
      <c r="U62" s="2048"/>
      <c r="V62" s="2048"/>
      <c r="W62" s="2048"/>
    </row>
    <row r="63" spans="1:43" s="1933" customFormat="1" ht="11.25" hidden="1" customHeight="1">
      <c r="A63" s="194"/>
      <c r="B63" s="194"/>
      <c r="Y63" s="1140"/>
      <c r="Z63" s="1140"/>
      <c r="AA63" s="1140"/>
      <c r="AB63" s="1140"/>
      <c r="AC63" s="194"/>
      <c r="AD63" s="194"/>
      <c r="AE63" s="194"/>
      <c r="AF63" s="194"/>
      <c r="AG63" s="194"/>
      <c r="AH63" s="194"/>
      <c r="AI63" s="194"/>
      <c r="AJ63" s="194"/>
      <c r="AK63" s="194"/>
      <c r="AL63" s="194"/>
      <c r="AM63" s="194"/>
      <c r="AN63" s="194"/>
      <c r="AO63" s="194"/>
      <c r="AP63" s="194"/>
      <c r="AQ63" s="194"/>
    </row>
    <row r="64" spans="1:43" s="1933" customFormat="1" ht="17.25" hidden="1" customHeight="1">
      <c r="A64" s="246"/>
      <c r="C64" s="131"/>
      <c r="D64" s="2027">
        <v>1</v>
      </c>
      <c r="E64" s="2029" t="s">
        <v>216</v>
      </c>
      <c r="F64" s="2031" t="s">
        <v>55</v>
      </c>
      <c r="G64" s="2034"/>
      <c r="H64" s="2036"/>
      <c r="I64" s="2038"/>
      <c r="J64" s="2040"/>
      <c r="K64" s="2025"/>
      <c r="L64" s="2025"/>
      <c r="M64" s="2025"/>
      <c r="N64" s="2043"/>
      <c r="O64" s="2025"/>
      <c r="P64" s="2025"/>
      <c r="Q64" s="2025"/>
      <c r="R64" s="2046"/>
      <c r="S64" s="2025"/>
      <c r="T64" s="1331"/>
      <c r="U64" s="1331"/>
      <c r="V64" s="1333"/>
      <c r="W64" s="1179"/>
      <c r="Y64" s="1147"/>
      <c r="Z64" s="1147"/>
      <c r="AA64" s="1147"/>
      <c r="AB64" s="1147"/>
      <c r="AC64" s="1226" t="s">
        <v>217</v>
      </c>
      <c r="AD64" s="1226" t="s">
        <v>218</v>
      </c>
      <c r="AE64" s="1226" t="s">
        <v>219</v>
      </c>
      <c r="AF64" s="1226" t="s">
        <v>220</v>
      </c>
      <c r="AG64" s="1226"/>
      <c r="AH64" s="1226" t="str">
        <f>IF($E$64=0,"",$E$64)</f>
        <v>Тариф на питьевую воду (питьевое водоснабжение)</v>
      </c>
      <c r="AI64" s="1226" t="str">
        <f>IF($G$64=0,"",$G$64)</f>
        <v/>
      </c>
      <c r="AJ64" s="1226" t="str">
        <f>IF($J$64=0,"",$J$64)</f>
        <v/>
      </c>
      <c r="AK64" s="1226" t="str">
        <f>IF($K$64="нет","без дифференциации",IF($N$64=0,"",$N$64))</f>
        <v/>
      </c>
      <c r="AL64" s="1226" t="str">
        <f>IF($O$64="нет","без дифференциации",IF($R$64=0,"",$R$64))</f>
        <v/>
      </c>
      <c r="AM64" s="1226" t="str">
        <f>IF($S$64="нет","без дифференциации",IF($V$64=0,"",$V$64))</f>
        <v/>
      </c>
      <c r="AN64" s="1226">
        <f>$I$64</f>
        <v>0</v>
      </c>
      <c r="AO64" s="1226" t="str">
        <f>$I$64&amp;"."&amp;$M$64</f>
        <v>.</v>
      </c>
      <c r="AP64" s="1226" t="str">
        <f>$I$64&amp;"."&amp;$M$64&amp;"."&amp;$Q$64</f>
        <v>..</v>
      </c>
      <c r="AQ64" s="1226" t="str">
        <f>$I$64&amp;"."&amp;$M$64&amp;"."&amp;$Q$64&amp;"."&amp;$U$64</f>
        <v>...</v>
      </c>
    </row>
    <row r="65" spans="1:43" s="1933" customFormat="1" ht="17.25" hidden="1" customHeight="1">
      <c r="A65" s="246"/>
      <c r="C65" s="245"/>
      <c r="D65" s="2027"/>
      <c r="E65" s="2029"/>
      <c r="F65" s="2032"/>
      <c r="G65" s="2034"/>
      <c r="H65" s="2037"/>
      <c r="I65" s="2039"/>
      <c r="J65" s="2041"/>
      <c r="K65" s="2026"/>
      <c r="L65" s="2026"/>
      <c r="M65" s="2026"/>
      <c r="N65" s="2044"/>
      <c r="O65" s="2026"/>
      <c r="P65" s="2026"/>
      <c r="Q65" s="2026"/>
      <c r="R65" s="2045"/>
      <c r="S65" s="2026"/>
      <c r="T65" s="1180"/>
      <c r="U65" s="1180"/>
      <c r="V65" s="1180"/>
      <c r="W65" s="1181"/>
      <c r="Y65" s="1140"/>
      <c r="Z65" s="1140"/>
      <c r="AA65" s="1140"/>
      <c r="AB65" s="1140"/>
      <c r="AC65" s="194"/>
      <c r="AD65" s="194"/>
      <c r="AE65" s="194"/>
      <c r="AF65" s="194"/>
      <c r="AG65" s="194"/>
      <c r="AH65" s="194"/>
      <c r="AI65" s="194"/>
      <c r="AJ65" s="194"/>
      <c r="AK65" s="194"/>
      <c r="AL65" s="194"/>
      <c r="AM65" s="194"/>
      <c r="AN65" s="194"/>
      <c r="AO65" s="194"/>
      <c r="AP65" s="194"/>
      <c r="AQ65" s="194"/>
    </row>
    <row r="66" spans="1:43" s="1933" customFormat="1" ht="17.25" hidden="1" customHeight="1">
      <c r="A66" s="246"/>
      <c r="C66" s="131"/>
      <c r="D66" s="2027"/>
      <c r="E66" s="2029"/>
      <c r="F66" s="2032"/>
      <c r="G66" s="2034"/>
      <c r="H66" s="2037"/>
      <c r="I66" s="2039"/>
      <c r="J66" s="2042"/>
      <c r="K66" s="2026"/>
      <c r="L66" s="2026"/>
      <c r="M66" s="2026"/>
      <c r="N66" s="2045"/>
      <c r="O66" s="2026"/>
      <c r="P66" s="1332"/>
      <c r="Q66" s="1180"/>
      <c r="R66" s="1180"/>
      <c r="S66" s="255"/>
      <c r="T66" s="255"/>
      <c r="U66" s="255"/>
      <c r="V66" s="255"/>
      <c r="W66" s="1181"/>
      <c r="Y66" s="1147"/>
      <c r="Z66" s="1147"/>
      <c r="AA66" s="1147"/>
      <c r="AB66" s="1147"/>
      <c r="AC66" s="1226"/>
      <c r="AD66" s="1226"/>
      <c r="AE66" s="1226"/>
      <c r="AF66" s="1226"/>
      <c r="AG66" s="1226"/>
      <c r="AH66" s="1226"/>
      <c r="AI66" s="1226"/>
      <c r="AJ66" s="1226"/>
      <c r="AK66" s="1226"/>
      <c r="AL66" s="1226"/>
      <c r="AM66" s="1226"/>
      <c r="AN66" s="1226"/>
      <c r="AO66" s="1226"/>
      <c r="AP66" s="1226"/>
      <c r="AQ66" s="1226"/>
    </row>
    <row r="67" spans="1:43" s="1933" customFormat="1" ht="17.25" hidden="1" customHeight="1">
      <c r="A67" s="246"/>
      <c r="C67" s="245"/>
      <c r="D67" s="2027"/>
      <c r="E67" s="2029"/>
      <c r="F67" s="2032"/>
      <c r="G67" s="2034"/>
      <c r="H67" s="2037"/>
      <c r="I67" s="2039"/>
      <c r="J67" s="2042"/>
      <c r="K67" s="2026"/>
      <c r="L67" s="1180"/>
      <c r="M67" s="1180"/>
      <c r="N67" s="1180"/>
      <c r="O67" s="1180"/>
      <c r="P67" s="1180"/>
      <c r="Q67" s="1180"/>
      <c r="R67" s="1180"/>
      <c r="S67" s="255"/>
      <c r="T67" s="255"/>
      <c r="U67" s="255"/>
      <c r="V67" s="255"/>
      <c r="W67" s="1181"/>
      <c r="Y67" s="1140"/>
      <c r="Z67" s="1140"/>
      <c r="AA67" s="1140"/>
      <c r="AB67" s="1140"/>
      <c r="AC67" s="194"/>
      <c r="AD67" s="194"/>
      <c r="AE67" s="194"/>
      <c r="AF67" s="194"/>
      <c r="AG67" s="194"/>
      <c r="AH67" s="194"/>
      <c r="AI67" s="194"/>
      <c r="AJ67" s="194"/>
      <c r="AK67" s="194"/>
      <c r="AL67" s="194"/>
      <c r="AM67" s="194"/>
      <c r="AN67" s="194"/>
      <c r="AO67" s="194"/>
      <c r="AP67" s="194"/>
      <c r="AQ67" s="194"/>
    </row>
    <row r="68" spans="1:43" s="1933" customFormat="1" ht="17.25" hidden="1" customHeight="1">
      <c r="A68" s="246"/>
      <c r="C68" s="245"/>
      <c r="D68" s="2028"/>
      <c r="E68" s="2030"/>
      <c r="F68" s="2033"/>
      <c r="G68" s="2035"/>
      <c r="H68" s="1183"/>
      <c r="I68" s="1184"/>
      <c r="J68" s="1184"/>
      <c r="K68" s="1184"/>
      <c r="L68" s="1184"/>
      <c r="M68" s="1184"/>
      <c r="N68" s="1184"/>
      <c r="O68" s="1184"/>
      <c r="P68" s="1184"/>
      <c r="Q68" s="1184"/>
      <c r="R68" s="1184"/>
      <c r="S68" s="1185"/>
      <c r="T68" s="1185"/>
      <c r="U68" s="1185"/>
      <c r="V68" s="1185"/>
      <c r="W68" s="1186"/>
      <c r="Y68" s="1140"/>
      <c r="Z68" s="1140"/>
      <c r="AA68" s="1140"/>
      <c r="AB68" s="1140"/>
      <c r="AC68" s="194"/>
      <c r="AD68" s="194"/>
      <c r="AE68" s="194"/>
      <c r="AF68" s="194"/>
      <c r="AG68" s="194"/>
      <c r="AH68" s="194"/>
      <c r="AI68" s="194"/>
      <c r="AJ68" s="194"/>
      <c r="AK68" s="194"/>
      <c r="AL68" s="194"/>
      <c r="AM68" s="194"/>
      <c r="AN68" s="194"/>
      <c r="AO68" s="194"/>
      <c r="AP68" s="194"/>
      <c r="AQ68" s="194"/>
    </row>
    <row r="69" spans="1:43" s="1933" customFormat="1" ht="17.25" hidden="1" customHeight="1">
      <c r="A69" s="246"/>
      <c r="C69" s="131"/>
      <c r="D69" s="2027">
        <v>2</v>
      </c>
      <c r="E69" s="2029" t="s">
        <v>221</v>
      </c>
      <c r="F69" s="2031" t="s">
        <v>55</v>
      </c>
      <c r="G69" s="2034"/>
      <c r="H69" s="2036"/>
      <c r="I69" s="2038"/>
      <c r="J69" s="2040"/>
      <c r="K69" s="2025"/>
      <c r="L69" s="2025"/>
      <c r="M69" s="2025"/>
      <c r="N69" s="2043"/>
      <c r="O69" s="2025"/>
      <c r="P69" s="2025"/>
      <c r="Q69" s="2025"/>
      <c r="R69" s="2046"/>
      <c r="S69" s="2025"/>
      <c r="T69" s="1307"/>
      <c r="U69" s="1307"/>
      <c r="V69" s="1309"/>
      <c r="W69" s="1179"/>
      <c r="X69" s="1147"/>
      <c r="Y69" s="1147"/>
      <c r="Z69" s="1147"/>
      <c r="AA69" s="1147"/>
      <c r="AB69" s="1147"/>
      <c r="AC69" s="1226" t="s">
        <v>222</v>
      </c>
      <c r="AD69" s="1226" t="s">
        <v>223</v>
      </c>
      <c r="AE69" s="1226" t="s">
        <v>224</v>
      </c>
      <c r="AF69" s="1226" t="s">
        <v>225</v>
      </c>
      <c r="AG69" s="1226"/>
      <c r="AH69" s="1226" t="str">
        <f>IF($E$69=0,"",$E$69)</f>
        <v>Тариф на техническую воду</v>
      </c>
      <c r="AI69" s="1226" t="str">
        <f>IF($G$69=0,"",$G$69)</f>
        <v/>
      </c>
      <c r="AJ69" s="1226" t="str">
        <f>IF($J$69=0,"",$J$69)</f>
        <v/>
      </c>
      <c r="AK69" s="1226" t="str">
        <f>IF($K$69="нет","без дифференциации",IF($N$69=0,"",$N$69))</f>
        <v/>
      </c>
      <c r="AL69" s="1226" t="str">
        <f>IF($O$69="нет","без дифференциации",IF($R$69=0,"",$R$69))</f>
        <v/>
      </c>
      <c r="AM69" s="1226" t="str">
        <f>IF($S$69="нет","без дифференциации",IF($V$69=0,"",$V$69))</f>
        <v/>
      </c>
      <c r="AN69" s="1379">
        <f>$I$69</f>
        <v>0</v>
      </c>
      <c r="AO69" s="1226" t="str">
        <f>$I$69&amp;"."&amp;$M$69</f>
        <v>.</v>
      </c>
      <c r="AP69" s="194" t="str">
        <f>$I$69&amp;"."&amp;$M$69&amp;"."&amp;$Q$69</f>
        <v>..</v>
      </c>
      <c r="AQ69" s="194" t="str">
        <f>$I$69&amp;"."&amp;$M$69&amp;"."&amp;$Q$69&amp;"."&amp;$U$69</f>
        <v>...</v>
      </c>
    </row>
    <row r="70" spans="1:43" s="1933" customFormat="1" ht="17.25" hidden="1" customHeight="1">
      <c r="A70" s="246"/>
      <c r="C70" s="245"/>
      <c r="D70" s="2027"/>
      <c r="E70" s="2029"/>
      <c r="F70" s="2032"/>
      <c r="G70" s="2034"/>
      <c r="H70" s="2037"/>
      <c r="I70" s="2039"/>
      <c r="J70" s="2041"/>
      <c r="K70" s="2026"/>
      <c r="L70" s="2026"/>
      <c r="M70" s="2026"/>
      <c r="N70" s="2044"/>
      <c r="O70" s="2026"/>
      <c r="P70" s="2026"/>
      <c r="Q70" s="2026"/>
      <c r="R70" s="2045"/>
      <c r="S70" s="2026"/>
      <c r="T70" s="1180"/>
      <c r="U70" s="1180"/>
      <c r="V70" s="1180"/>
      <c r="W70" s="1181"/>
      <c r="X70" s="1140"/>
      <c r="Y70" s="1140"/>
      <c r="Z70" s="1140"/>
      <c r="AA70" s="1140"/>
      <c r="AB70" s="1140"/>
      <c r="AC70" s="194"/>
      <c r="AD70" s="194"/>
      <c r="AE70" s="194"/>
      <c r="AF70" s="194"/>
      <c r="AG70" s="194"/>
      <c r="AH70" s="194"/>
      <c r="AI70" s="194"/>
      <c r="AJ70" s="194"/>
      <c r="AK70" s="194"/>
      <c r="AL70" s="194"/>
      <c r="AM70" s="194"/>
      <c r="AN70" s="194"/>
      <c r="AO70" s="194"/>
      <c r="AP70" s="194"/>
      <c r="AQ70" s="194"/>
    </row>
    <row r="71" spans="1:43" s="1933" customFormat="1" ht="17.25" hidden="1" customHeight="1">
      <c r="A71" s="246"/>
      <c r="C71" s="245"/>
      <c r="D71" s="2028"/>
      <c r="E71" s="2030"/>
      <c r="F71" s="2032"/>
      <c r="G71" s="2035"/>
      <c r="H71" s="2037"/>
      <c r="I71" s="2039"/>
      <c r="J71" s="2042"/>
      <c r="K71" s="2026"/>
      <c r="L71" s="2026"/>
      <c r="M71" s="2026"/>
      <c r="N71" s="2045"/>
      <c r="O71" s="2026"/>
      <c r="P71" s="1308"/>
      <c r="Q71" s="1180"/>
      <c r="R71" s="1180"/>
      <c r="S71" s="255"/>
      <c r="T71" s="255"/>
      <c r="U71" s="255"/>
      <c r="V71" s="255"/>
      <c r="W71" s="1181"/>
      <c r="X71" s="1140"/>
      <c r="Y71" s="1140"/>
      <c r="Z71" s="1140"/>
      <c r="AA71" s="1140"/>
      <c r="AB71" s="1140"/>
      <c r="AC71" s="194"/>
      <c r="AD71" s="194"/>
      <c r="AE71" s="194"/>
      <c r="AF71" s="194"/>
      <c r="AG71" s="194"/>
      <c r="AH71" s="194"/>
      <c r="AI71" s="194"/>
      <c r="AJ71" s="194"/>
      <c r="AK71" s="194"/>
      <c r="AL71" s="194"/>
      <c r="AM71" s="194"/>
      <c r="AN71" s="194"/>
      <c r="AO71" s="194"/>
      <c r="AP71" s="194"/>
      <c r="AQ71" s="194"/>
    </row>
    <row r="72" spans="1:43" s="1933" customFormat="1" ht="17.25" hidden="1" customHeight="1">
      <c r="A72" s="246"/>
      <c r="C72" s="245"/>
      <c r="D72" s="2028"/>
      <c r="E72" s="2030"/>
      <c r="F72" s="2032"/>
      <c r="G72" s="2035"/>
      <c r="H72" s="2037"/>
      <c r="I72" s="2039"/>
      <c r="J72" s="2042"/>
      <c r="K72" s="2026"/>
      <c r="L72" s="1180"/>
      <c r="M72" s="1180"/>
      <c r="N72" s="1180"/>
      <c r="O72" s="1180"/>
      <c r="P72" s="1180"/>
      <c r="Q72" s="1180"/>
      <c r="R72" s="1180"/>
      <c r="S72" s="255"/>
      <c r="T72" s="255"/>
      <c r="U72" s="255"/>
      <c r="V72" s="255"/>
      <c r="W72" s="1181"/>
      <c r="X72" s="1140"/>
      <c r="Y72" s="1140"/>
      <c r="Z72" s="1140"/>
      <c r="AA72" s="1140"/>
      <c r="AB72" s="1140"/>
      <c r="AC72" s="194"/>
      <c r="AD72" s="194"/>
      <c r="AE72" s="194"/>
      <c r="AF72" s="194"/>
      <c r="AG72" s="194"/>
      <c r="AH72" s="194"/>
      <c r="AI72" s="194"/>
      <c r="AJ72" s="194"/>
      <c r="AK72" s="194"/>
      <c r="AL72" s="194"/>
      <c r="AM72" s="194"/>
      <c r="AN72" s="194"/>
      <c r="AO72" s="194"/>
      <c r="AP72" s="194"/>
      <c r="AQ72" s="194"/>
    </row>
    <row r="73" spans="1:43" s="1933" customFormat="1" ht="17.25" hidden="1" customHeight="1">
      <c r="A73" s="246"/>
      <c r="C73" s="245"/>
      <c r="D73" s="2028"/>
      <c r="E73" s="2030"/>
      <c r="F73" s="2033"/>
      <c r="G73" s="2035"/>
      <c r="H73" s="1183"/>
      <c r="I73" s="1184"/>
      <c r="J73" s="1184"/>
      <c r="K73" s="1184"/>
      <c r="L73" s="1184"/>
      <c r="M73" s="1184"/>
      <c r="N73" s="1184"/>
      <c r="O73" s="1184"/>
      <c r="P73" s="1184"/>
      <c r="Q73" s="1184"/>
      <c r="R73" s="1184"/>
      <c r="S73" s="1185"/>
      <c r="T73" s="1185"/>
      <c r="U73" s="1185"/>
      <c r="V73" s="1185"/>
      <c r="W73" s="1186"/>
      <c r="X73" s="1140"/>
      <c r="Y73" s="1140"/>
      <c r="Z73" s="1140"/>
      <c r="AA73" s="1140"/>
      <c r="AB73" s="1140"/>
      <c r="AC73" s="194"/>
      <c r="AD73" s="194"/>
      <c r="AE73" s="194"/>
      <c r="AF73" s="194"/>
      <c r="AG73" s="194"/>
      <c r="AH73" s="194"/>
      <c r="AI73" s="194"/>
      <c r="AJ73" s="194"/>
      <c r="AK73" s="194"/>
      <c r="AL73" s="194"/>
      <c r="AM73" s="194"/>
      <c r="AN73" s="194"/>
      <c r="AO73" s="194"/>
      <c r="AP73" s="194"/>
      <c r="AQ73" s="194"/>
    </row>
    <row r="74" spans="1:43" s="1933" customFormat="1" ht="17.25" hidden="1" customHeight="1">
      <c r="A74" s="246"/>
      <c r="C74" s="131"/>
      <c r="D74" s="2027">
        <v>3</v>
      </c>
      <c r="E74" s="2029" t="s">
        <v>226</v>
      </c>
      <c r="F74" s="2031" t="s">
        <v>55</v>
      </c>
      <c r="G74" s="2034"/>
      <c r="H74" s="2036"/>
      <c r="I74" s="2038"/>
      <c r="J74" s="2040"/>
      <c r="K74" s="2025"/>
      <c r="L74" s="2025"/>
      <c r="M74" s="2025"/>
      <c r="N74" s="2043"/>
      <c r="O74" s="2025"/>
      <c r="P74" s="2025"/>
      <c r="Q74" s="2025"/>
      <c r="R74" s="2046"/>
      <c r="S74" s="2025"/>
      <c r="T74" s="1307"/>
      <c r="U74" s="1307"/>
      <c r="V74" s="1309"/>
      <c r="W74" s="1179"/>
      <c r="X74" s="1147"/>
      <c r="Y74" s="1147"/>
      <c r="Z74" s="1147"/>
      <c r="AA74" s="1147"/>
      <c r="AB74" s="1147"/>
      <c r="AC74" s="1226" t="s">
        <v>227</v>
      </c>
      <c r="AD74" s="1226" t="s">
        <v>228</v>
      </c>
      <c r="AE74" s="1226" t="s">
        <v>229</v>
      </c>
      <c r="AF74" s="1226" t="s">
        <v>230</v>
      </c>
      <c r="AG74" s="1226"/>
      <c r="AH74" s="1226" t="str">
        <f>IF($E$74=0,"",$E$74)</f>
        <v>Тариф на транспортировку воды</v>
      </c>
      <c r="AI74" s="1226" t="str">
        <f>IF($G$74=0,"",$G$74)</f>
        <v/>
      </c>
      <c r="AJ74" s="1226" t="str">
        <f>IF($J$74=0,"",$J$74)</f>
        <v/>
      </c>
      <c r="AK74" s="1226" t="str">
        <f>IF($K$74="нет","без дифференциации",IF($N$74=0,"",$N$74))</f>
        <v/>
      </c>
      <c r="AL74" s="1226" t="str">
        <f>IF($O$74="нет","без дифференциации",IF($R$74=0,"",$R$74))</f>
        <v/>
      </c>
      <c r="AM74" s="1226" t="str">
        <f>IF($S$74="нет","без дифференциации",IF($V$74=0,"",$V$74))</f>
        <v/>
      </c>
      <c r="AN74" s="1379">
        <f>$I$74</f>
        <v>0</v>
      </c>
      <c r="AO74" s="1226" t="str">
        <f>$I$74&amp;"."&amp;$M$74</f>
        <v>.</v>
      </c>
      <c r="AP74" s="194" t="str">
        <f>$I$74&amp;"."&amp;$M$74&amp;"."&amp;$Q$74</f>
        <v>..</v>
      </c>
      <c r="AQ74" s="194" t="str">
        <f>$I$74&amp;"."&amp;$M$74&amp;"."&amp;$Q$74&amp;"."&amp;$U$74</f>
        <v>...</v>
      </c>
    </row>
    <row r="75" spans="1:43" s="1933" customFormat="1" ht="17.25" hidden="1" customHeight="1">
      <c r="A75" s="246"/>
      <c r="C75" s="245"/>
      <c r="D75" s="2027"/>
      <c r="E75" s="2029"/>
      <c r="F75" s="2032"/>
      <c r="G75" s="2034"/>
      <c r="H75" s="2037"/>
      <c r="I75" s="2039"/>
      <c r="J75" s="2041"/>
      <c r="K75" s="2026"/>
      <c r="L75" s="2026"/>
      <c r="M75" s="2026"/>
      <c r="N75" s="2044"/>
      <c r="O75" s="2026"/>
      <c r="P75" s="2026"/>
      <c r="Q75" s="2026"/>
      <c r="R75" s="2045"/>
      <c r="S75" s="2026"/>
      <c r="T75" s="1180"/>
      <c r="U75" s="1180"/>
      <c r="V75" s="1180"/>
      <c r="W75" s="1181"/>
      <c r="X75" s="1140"/>
      <c r="Y75" s="1140"/>
      <c r="Z75" s="1140"/>
      <c r="AA75" s="1140"/>
      <c r="AB75" s="1140"/>
      <c r="AC75" s="194"/>
      <c r="AD75" s="194"/>
      <c r="AE75" s="194"/>
      <c r="AF75" s="194"/>
      <c r="AG75" s="194"/>
      <c r="AH75" s="194"/>
      <c r="AI75" s="194"/>
      <c r="AJ75" s="194"/>
      <c r="AK75" s="194"/>
      <c r="AL75" s="194"/>
      <c r="AM75" s="194"/>
      <c r="AN75" s="194"/>
      <c r="AO75" s="194"/>
      <c r="AP75" s="194"/>
      <c r="AQ75" s="194"/>
    </row>
    <row r="76" spans="1:43" s="1933" customFormat="1" ht="17.25" hidden="1" customHeight="1">
      <c r="A76" s="246"/>
      <c r="C76" s="245"/>
      <c r="D76" s="2028"/>
      <c r="E76" s="2030"/>
      <c r="F76" s="2032"/>
      <c r="G76" s="2035"/>
      <c r="H76" s="2037"/>
      <c r="I76" s="2039"/>
      <c r="J76" s="2042"/>
      <c r="K76" s="2026"/>
      <c r="L76" s="2026"/>
      <c r="M76" s="2026"/>
      <c r="N76" s="2045"/>
      <c r="O76" s="2026"/>
      <c r="P76" s="1308"/>
      <c r="Q76" s="1180"/>
      <c r="R76" s="1180"/>
      <c r="S76" s="255"/>
      <c r="T76" s="255"/>
      <c r="U76" s="255"/>
      <c r="V76" s="255"/>
      <c r="W76" s="1181"/>
      <c r="X76" s="1140"/>
      <c r="Y76" s="1140"/>
      <c r="Z76" s="1140"/>
      <c r="AA76" s="1140"/>
      <c r="AB76" s="1140"/>
      <c r="AC76" s="194"/>
      <c r="AD76" s="194"/>
      <c r="AE76" s="194"/>
      <c r="AF76" s="194"/>
      <c r="AG76" s="194"/>
      <c r="AH76" s="194"/>
      <c r="AI76" s="194"/>
      <c r="AJ76" s="194"/>
      <c r="AK76" s="194"/>
      <c r="AL76" s="194"/>
      <c r="AM76" s="194"/>
      <c r="AN76" s="194"/>
      <c r="AO76" s="194"/>
      <c r="AP76" s="194"/>
      <c r="AQ76" s="194"/>
    </row>
    <row r="77" spans="1:43" s="1933" customFormat="1" ht="17.25" hidden="1" customHeight="1">
      <c r="A77" s="246"/>
      <c r="C77" s="245"/>
      <c r="D77" s="2028"/>
      <c r="E77" s="2030"/>
      <c r="F77" s="2032"/>
      <c r="G77" s="2035"/>
      <c r="H77" s="2037"/>
      <c r="I77" s="2039"/>
      <c r="J77" s="2042"/>
      <c r="K77" s="2026"/>
      <c r="L77" s="1180"/>
      <c r="M77" s="1180"/>
      <c r="N77" s="1180"/>
      <c r="O77" s="1180"/>
      <c r="P77" s="1180"/>
      <c r="Q77" s="1180"/>
      <c r="R77" s="1180"/>
      <c r="S77" s="255"/>
      <c r="T77" s="255"/>
      <c r="U77" s="255"/>
      <c r="V77" s="255"/>
      <c r="W77" s="1181"/>
      <c r="X77" s="1140"/>
      <c r="Y77" s="1140"/>
      <c r="Z77" s="1140"/>
      <c r="AA77" s="1140"/>
      <c r="AB77" s="1140"/>
      <c r="AC77" s="194"/>
      <c r="AD77" s="194"/>
      <c r="AE77" s="194"/>
      <c r="AF77" s="194"/>
      <c r="AG77" s="194"/>
      <c r="AH77" s="194"/>
      <c r="AI77" s="194"/>
      <c r="AJ77" s="194"/>
      <c r="AK77" s="194"/>
      <c r="AL77" s="194"/>
      <c r="AM77" s="194"/>
      <c r="AN77" s="194"/>
      <c r="AO77" s="194"/>
      <c r="AP77" s="194"/>
      <c r="AQ77" s="194"/>
    </row>
    <row r="78" spans="1:43" s="1933" customFormat="1" ht="17.25" hidden="1" customHeight="1">
      <c r="A78" s="246"/>
      <c r="C78" s="245"/>
      <c r="D78" s="2028"/>
      <c r="E78" s="2030"/>
      <c r="F78" s="2033"/>
      <c r="G78" s="2035"/>
      <c r="H78" s="1183"/>
      <c r="I78" s="1184"/>
      <c r="J78" s="1184"/>
      <c r="K78" s="1184"/>
      <c r="L78" s="1184"/>
      <c r="M78" s="1184"/>
      <c r="N78" s="1184"/>
      <c r="O78" s="1184"/>
      <c r="P78" s="1184"/>
      <c r="Q78" s="1184"/>
      <c r="R78" s="1184"/>
      <c r="S78" s="1185"/>
      <c r="T78" s="1185"/>
      <c r="U78" s="1185"/>
      <c r="V78" s="1185"/>
      <c r="W78" s="1186"/>
      <c r="X78" s="1140"/>
      <c r="Y78" s="1140"/>
      <c r="Z78" s="1140"/>
      <c r="AA78" s="1140"/>
      <c r="AB78" s="1140"/>
      <c r="AC78" s="194"/>
      <c r="AD78" s="194"/>
      <c r="AE78" s="194"/>
      <c r="AF78" s="194"/>
      <c r="AG78" s="194"/>
      <c r="AH78" s="194"/>
      <c r="AI78" s="194"/>
      <c r="AJ78" s="194"/>
      <c r="AK78" s="194"/>
      <c r="AL78" s="194"/>
      <c r="AM78" s="194"/>
      <c r="AN78" s="194"/>
      <c r="AO78" s="194"/>
      <c r="AP78" s="194"/>
      <c r="AQ78" s="194"/>
    </row>
    <row r="79" spans="1:43" s="1933" customFormat="1" ht="17.25" hidden="1" customHeight="1">
      <c r="A79" s="246"/>
      <c r="C79" s="131"/>
      <c r="D79" s="2027">
        <v>4</v>
      </c>
      <c r="E79" s="2029" t="s">
        <v>231</v>
      </c>
      <c r="F79" s="2031" t="s">
        <v>55</v>
      </c>
      <c r="G79" s="2034"/>
      <c r="H79" s="2036"/>
      <c r="I79" s="2038"/>
      <c r="J79" s="2040"/>
      <c r="K79" s="2025"/>
      <c r="L79" s="2025"/>
      <c r="M79" s="2025"/>
      <c r="N79" s="2043"/>
      <c r="O79" s="2025"/>
      <c r="P79" s="2025"/>
      <c r="Q79" s="2025"/>
      <c r="R79" s="2046"/>
      <c r="S79" s="2025"/>
      <c r="T79" s="1307"/>
      <c r="U79" s="1307"/>
      <c r="V79" s="1309"/>
      <c r="W79" s="1179"/>
      <c r="X79" s="1147"/>
      <c r="Y79" s="1147"/>
      <c r="Z79" s="1147"/>
      <c r="AA79" s="1147"/>
      <c r="AB79" s="1147"/>
      <c r="AC79" s="1226" t="s">
        <v>232</v>
      </c>
      <c r="AD79" s="1226" t="s">
        <v>233</v>
      </c>
      <c r="AE79" s="1226" t="s">
        <v>234</v>
      </c>
      <c r="AF79" s="1226" t="s">
        <v>235</v>
      </c>
      <c r="AG79" s="1226"/>
      <c r="AH79" s="1226" t="str">
        <f>IF($E$79=0,"",$E$79)</f>
        <v>Тариф на подвоз воды</v>
      </c>
      <c r="AI79" s="1226" t="str">
        <f>IF($G$79=0,"",$G$79)</f>
        <v/>
      </c>
      <c r="AJ79" s="1226" t="str">
        <f>IF($J$79=0,"",$J$79)</f>
        <v/>
      </c>
      <c r="AK79" s="1226" t="str">
        <f>IF($K$79="нет","без дифференциации",IF($N$79=0,"",$N$79))</f>
        <v/>
      </c>
      <c r="AL79" s="1226" t="str">
        <f>IF($O$79="нет","без дифференциации",IF($R$79=0,"",$R$79))</f>
        <v/>
      </c>
      <c r="AM79" s="1226" t="str">
        <f>IF($S$79="нет","без дифференциации",IF($V$79=0,"",$V$79))</f>
        <v/>
      </c>
      <c r="AN79" s="1379">
        <f>$I$79</f>
        <v>0</v>
      </c>
      <c r="AO79" s="1226" t="str">
        <f>$I$79&amp;"."&amp;$M$79</f>
        <v>.</v>
      </c>
      <c r="AP79" s="194" t="str">
        <f>$I$79&amp;"."&amp;$M$79&amp;"."&amp;$Q$79</f>
        <v>..</v>
      </c>
      <c r="AQ79" s="194" t="str">
        <f>$I$79&amp;"."&amp;$M$79&amp;"."&amp;$Q$79&amp;"."&amp;$U$79</f>
        <v>...</v>
      </c>
    </row>
    <row r="80" spans="1:43" s="1933" customFormat="1" ht="17.25" hidden="1" customHeight="1">
      <c r="A80" s="246"/>
      <c r="C80" s="245"/>
      <c r="D80" s="2027"/>
      <c r="E80" s="2029"/>
      <c r="F80" s="2032"/>
      <c r="G80" s="2034"/>
      <c r="H80" s="2037"/>
      <c r="I80" s="2039"/>
      <c r="J80" s="2041"/>
      <c r="K80" s="2026"/>
      <c r="L80" s="2026"/>
      <c r="M80" s="2026"/>
      <c r="N80" s="2044"/>
      <c r="O80" s="2026"/>
      <c r="P80" s="2026"/>
      <c r="Q80" s="2026"/>
      <c r="R80" s="2045"/>
      <c r="S80" s="2026"/>
      <c r="T80" s="1180"/>
      <c r="U80" s="1180"/>
      <c r="V80" s="1180"/>
      <c r="W80" s="1181"/>
      <c r="X80" s="1140"/>
      <c r="Y80" s="1140"/>
      <c r="Z80" s="1140"/>
      <c r="AA80" s="1140"/>
      <c r="AB80" s="1140"/>
      <c r="AC80" s="194"/>
      <c r="AD80" s="194"/>
      <c r="AE80" s="194"/>
      <c r="AF80" s="194"/>
      <c r="AG80" s="194"/>
      <c r="AH80" s="194"/>
      <c r="AI80" s="194"/>
      <c r="AJ80" s="194"/>
      <c r="AK80" s="194"/>
      <c r="AL80" s="194"/>
      <c r="AM80" s="194"/>
      <c r="AN80" s="194"/>
      <c r="AO80" s="194"/>
      <c r="AP80" s="194"/>
      <c r="AQ80" s="194"/>
    </row>
    <row r="81" spans="1:43" s="1933" customFormat="1" ht="17.25" hidden="1" customHeight="1">
      <c r="A81" s="246"/>
      <c r="C81" s="245"/>
      <c r="D81" s="2028"/>
      <c r="E81" s="2030"/>
      <c r="F81" s="2032"/>
      <c r="G81" s="2035"/>
      <c r="H81" s="2037"/>
      <c r="I81" s="2039"/>
      <c r="J81" s="2042"/>
      <c r="K81" s="2026"/>
      <c r="L81" s="2026"/>
      <c r="M81" s="2026"/>
      <c r="N81" s="2045"/>
      <c r="O81" s="2026"/>
      <c r="P81" s="1308"/>
      <c r="Q81" s="1180"/>
      <c r="R81" s="1180"/>
      <c r="S81" s="255"/>
      <c r="T81" s="255"/>
      <c r="U81" s="255"/>
      <c r="V81" s="255"/>
      <c r="W81" s="1181"/>
      <c r="X81" s="1140"/>
      <c r="Y81" s="1140"/>
      <c r="Z81" s="1140"/>
      <c r="AA81" s="1140"/>
      <c r="AB81" s="1140"/>
      <c r="AC81" s="194"/>
      <c r="AD81" s="194"/>
      <c r="AE81" s="194"/>
      <c r="AF81" s="194"/>
      <c r="AG81" s="194"/>
      <c r="AH81" s="194"/>
      <c r="AI81" s="194"/>
      <c r="AJ81" s="194"/>
      <c r="AK81" s="194"/>
      <c r="AL81" s="194"/>
      <c r="AM81" s="194"/>
      <c r="AN81" s="194"/>
      <c r="AO81" s="194"/>
      <c r="AP81" s="194"/>
      <c r="AQ81" s="194"/>
    </row>
    <row r="82" spans="1:43" s="1933" customFormat="1" ht="17.25" hidden="1" customHeight="1">
      <c r="A82" s="246"/>
      <c r="C82" s="245"/>
      <c r="D82" s="2028"/>
      <c r="E82" s="2030"/>
      <c r="F82" s="2032"/>
      <c r="G82" s="2035"/>
      <c r="H82" s="2037"/>
      <c r="I82" s="2039"/>
      <c r="J82" s="2042"/>
      <c r="K82" s="2026"/>
      <c r="L82" s="1180"/>
      <c r="M82" s="1180"/>
      <c r="N82" s="1180"/>
      <c r="O82" s="1180"/>
      <c r="P82" s="1180"/>
      <c r="Q82" s="1180"/>
      <c r="R82" s="1180"/>
      <c r="S82" s="255"/>
      <c r="T82" s="255"/>
      <c r="U82" s="255"/>
      <c r="V82" s="255"/>
      <c r="W82" s="1181"/>
      <c r="X82" s="1140"/>
      <c r="Y82" s="1140"/>
      <c r="Z82" s="1140"/>
      <c r="AA82" s="1140"/>
      <c r="AB82" s="1140"/>
      <c r="AC82" s="194"/>
      <c r="AD82" s="194"/>
      <c r="AE82" s="194"/>
      <c r="AF82" s="194"/>
      <c r="AG82" s="194"/>
      <c r="AH82" s="194"/>
      <c r="AI82" s="194"/>
      <c r="AJ82" s="194"/>
      <c r="AK82" s="194"/>
      <c r="AL82" s="194"/>
      <c r="AM82" s="194"/>
      <c r="AN82" s="194"/>
      <c r="AO82" s="194"/>
      <c r="AP82" s="194"/>
      <c r="AQ82" s="194"/>
    </row>
    <row r="83" spans="1:43" s="1933" customFormat="1" ht="17.25" hidden="1" customHeight="1">
      <c r="A83" s="246"/>
      <c r="C83" s="245"/>
      <c r="D83" s="2028"/>
      <c r="E83" s="2030"/>
      <c r="F83" s="2033"/>
      <c r="G83" s="2035"/>
      <c r="H83" s="1183"/>
      <c r="I83" s="1184"/>
      <c r="J83" s="1184"/>
      <c r="K83" s="1184"/>
      <c r="L83" s="1184"/>
      <c r="M83" s="1184"/>
      <c r="N83" s="1184"/>
      <c r="O83" s="1184"/>
      <c r="P83" s="1184"/>
      <c r="Q83" s="1184"/>
      <c r="R83" s="1184"/>
      <c r="S83" s="1185"/>
      <c r="T83" s="1185"/>
      <c r="U83" s="1185"/>
      <c r="V83" s="1185"/>
      <c r="W83" s="1186"/>
      <c r="X83" s="1140"/>
      <c r="Y83" s="1140"/>
      <c r="Z83" s="1140"/>
      <c r="AA83" s="1140"/>
      <c r="AB83" s="1140"/>
      <c r="AC83" s="194"/>
      <c r="AD83" s="194"/>
      <c r="AE83" s="194"/>
      <c r="AF83" s="194"/>
      <c r="AG83" s="194"/>
      <c r="AH83" s="194"/>
      <c r="AI83" s="194"/>
      <c r="AJ83" s="194"/>
      <c r="AK83" s="194"/>
      <c r="AL83" s="194"/>
      <c r="AM83" s="194"/>
      <c r="AN83" s="194"/>
      <c r="AO83" s="194"/>
      <c r="AP83" s="194"/>
      <c r="AQ83" s="194"/>
    </row>
    <row r="84" spans="1:43" s="1933" customFormat="1" ht="17.25" hidden="1" customHeight="1">
      <c r="A84" s="246"/>
      <c r="C84" s="131"/>
      <c r="D84" s="2027">
        <v>5</v>
      </c>
      <c r="E84" s="2029" t="s">
        <v>236</v>
      </c>
      <c r="F84" s="2031" t="s">
        <v>55</v>
      </c>
      <c r="G84" s="2034"/>
      <c r="H84" s="2036"/>
      <c r="I84" s="2038"/>
      <c r="J84" s="2040"/>
      <c r="K84" s="2025"/>
      <c r="L84" s="2025"/>
      <c r="M84" s="2025"/>
      <c r="N84" s="2043"/>
      <c r="O84" s="2025"/>
      <c r="P84" s="2025"/>
      <c r="Q84" s="2025"/>
      <c r="R84" s="2046"/>
      <c r="S84" s="2025"/>
      <c r="T84" s="1331"/>
      <c r="U84" s="1331"/>
      <c r="V84" s="1333"/>
      <c r="W84" s="1179"/>
      <c r="X84" s="1147"/>
      <c r="Y84" s="1147"/>
      <c r="Z84" s="1147"/>
      <c r="AA84" s="1147"/>
      <c r="AB84" s="1147"/>
      <c r="AC84" s="1226" t="s">
        <v>237</v>
      </c>
      <c r="AD84" s="1226" t="s">
        <v>238</v>
      </c>
      <c r="AE84" s="1226" t="s">
        <v>239</v>
      </c>
      <c r="AF84" s="1226" t="s">
        <v>240</v>
      </c>
      <c r="AG84" s="1226"/>
      <c r="AH84" s="1226" t="str">
        <f>IF($E$84=0,"",$E$84)</f>
        <v>Тариф на подключение (технологическое присоединение) к централизованной системе холодного водоснабжения</v>
      </c>
      <c r="AI84" s="1226" t="str">
        <f>IF($G$84=0,"",$G$84)</f>
        <v/>
      </c>
      <c r="AJ84" s="1226" t="str">
        <f>IF($J$84=0,"",$J$84)</f>
        <v/>
      </c>
      <c r="AK84" s="1226" t="str">
        <f>IF($K$84="нет","без дифференциации",IF($N$84=0,"",$N$84))</f>
        <v/>
      </c>
      <c r="AL84" s="1226" t="str">
        <f>IF($O$84="нет","без дифференциации",IF($R$84=0,"",$R$84))</f>
        <v/>
      </c>
      <c r="AM84" s="1226" t="str">
        <f>IF($S$84="нет","без дифференциации",IF($V$84=0,"",$V$84))</f>
        <v/>
      </c>
      <c r="AN84" s="1379">
        <f>$I$84</f>
        <v>0</v>
      </c>
      <c r="AO84" s="1226" t="str">
        <f>$I$84&amp;"."&amp;$M$84</f>
        <v>.</v>
      </c>
      <c r="AP84" s="194" t="str">
        <f>$I$84&amp;"."&amp;$M$84&amp;"."&amp;$Q$84</f>
        <v>..</v>
      </c>
      <c r="AQ84" s="194" t="str">
        <f>$I$84&amp;"."&amp;$M$84&amp;"."&amp;$Q$84&amp;"."&amp;$U$84</f>
        <v>...</v>
      </c>
    </row>
    <row r="85" spans="1:43" s="1933" customFormat="1" ht="17.25" hidden="1" customHeight="1">
      <c r="A85" s="246"/>
      <c r="C85" s="245"/>
      <c r="D85" s="2027"/>
      <c r="E85" s="2029"/>
      <c r="F85" s="2032"/>
      <c r="G85" s="2034"/>
      <c r="H85" s="2037"/>
      <c r="I85" s="2039"/>
      <c r="J85" s="2041"/>
      <c r="K85" s="2026"/>
      <c r="L85" s="2026"/>
      <c r="M85" s="2026"/>
      <c r="N85" s="2044"/>
      <c r="O85" s="2026"/>
      <c r="P85" s="2026"/>
      <c r="Q85" s="2026"/>
      <c r="R85" s="2045"/>
      <c r="S85" s="2026"/>
      <c r="T85" s="1180"/>
      <c r="U85" s="1180"/>
      <c r="V85" s="1180"/>
      <c r="W85" s="1181"/>
      <c r="X85" s="1140"/>
      <c r="Y85" s="1140"/>
      <c r="Z85" s="1140"/>
      <c r="AA85" s="1140"/>
      <c r="AB85" s="1140"/>
      <c r="AC85" s="194"/>
      <c r="AD85" s="194"/>
      <c r="AE85" s="194"/>
      <c r="AF85" s="194"/>
      <c r="AG85" s="194"/>
      <c r="AH85" s="194"/>
      <c r="AI85" s="194"/>
      <c r="AJ85" s="194"/>
      <c r="AK85" s="194"/>
      <c r="AL85" s="194"/>
      <c r="AM85" s="194"/>
      <c r="AN85" s="194"/>
      <c r="AO85" s="194"/>
      <c r="AP85" s="194"/>
      <c r="AQ85" s="194"/>
    </row>
    <row r="86" spans="1:43" s="1933" customFormat="1" ht="17.25" hidden="1" customHeight="1">
      <c r="A86" s="246"/>
      <c r="C86" s="245"/>
      <c r="D86" s="2028"/>
      <c r="E86" s="2030"/>
      <c r="F86" s="2032"/>
      <c r="G86" s="2035"/>
      <c r="H86" s="2037"/>
      <c r="I86" s="2039"/>
      <c r="J86" s="2042"/>
      <c r="K86" s="2026"/>
      <c r="L86" s="2026"/>
      <c r="M86" s="2026"/>
      <c r="N86" s="2045"/>
      <c r="O86" s="2026"/>
      <c r="P86" s="1332"/>
      <c r="Q86" s="1180"/>
      <c r="R86" s="1180"/>
      <c r="S86" s="255"/>
      <c r="T86" s="255"/>
      <c r="U86" s="255"/>
      <c r="V86" s="255"/>
      <c r="W86" s="1181"/>
      <c r="X86" s="1140"/>
      <c r="Y86" s="1140"/>
      <c r="Z86" s="1140"/>
      <c r="AA86" s="1140"/>
      <c r="AB86" s="1140"/>
      <c r="AC86" s="194"/>
      <c r="AD86" s="194"/>
      <c r="AE86" s="194"/>
      <c r="AF86" s="194"/>
      <c r="AG86" s="194"/>
      <c r="AH86" s="194"/>
      <c r="AI86" s="194"/>
      <c r="AJ86" s="194"/>
      <c r="AK86" s="194"/>
      <c r="AL86" s="194"/>
      <c r="AM86" s="194"/>
      <c r="AN86" s="194"/>
      <c r="AO86" s="194"/>
      <c r="AP86" s="194"/>
      <c r="AQ86" s="194"/>
    </row>
    <row r="87" spans="1:43" s="1933" customFormat="1" ht="17.25" hidden="1" customHeight="1">
      <c r="A87" s="246"/>
      <c r="C87" s="245"/>
      <c r="D87" s="2028"/>
      <c r="E87" s="2030"/>
      <c r="F87" s="2032"/>
      <c r="G87" s="2035"/>
      <c r="H87" s="2037"/>
      <c r="I87" s="2039"/>
      <c r="J87" s="2042"/>
      <c r="K87" s="2026"/>
      <c r="L87" s="1180"/>
      <c r="M87" s="1180"/>
      <c r="N87" s="1180"/>
      <c r="O87" s="1180"/>
      <c r="P87" s="1180"/>
      <c r="Q87" s="1180"/>
      <c r="R87" s="1180"/>
      <c r="S87" s="255"/>
      <c r="T87" s="255"/>
      <c r="U87" s="255"/>
      <c r="V87" s="255"/>
      <c r="W87" s="1181"/>
      <c r="X87" s="1140"/>
      <c r="Y87" s="1140"/>
      <c r="Z87" s="1140"/>
      <c r="AA87" s="1140"/>
      <c r="AB87" s="1140"/>
      <c r="AC87" s="194"/>
      <c r="AD87" s="194"/>
      <c r="AE87" s="194"/>
      <c r="AF87" s="194"/>
      <c r="AG87" s="194"/>
      <c r="AH87" s="194"/>
      <c r="AI87" s="194"/>
      <c r="AJ87" s="194"/>
      <c r="AK87" s="194"/>
      <c r="AL87" s="194"/>
      <c r="AM87" s="194"/>
      <c r="AN87" s="194"/>
      <c r="AO87" s="194"/>
      <c r="AP87" s="194"/>
      <c r="AQ87" s="194"/>
    </row>
    <row r="88" spans="1:43" s="1933" customFormat="1" ht="17.25" hidden="1" customHeight="1">
      <c r="A88" s="246"/>
      <c r="C88" s="245"/>
      <c r="D88" s="2028"/>
      <c r="E88" s="2030"/>
      <c r="F88" s="2033"/>
      <c r="G88" s="2035"/>
      <c r="H88" s="1183"/>
      <c r="I88" s="1184"/>
      <c r="J88" s="1184"/>
      <c r="K88" s="1184"/>
      <c r="L88" s="1184"/>
      <c r="M88" s="1184"/>
      <c r="N88" s="1184"/>
      <c r="O88" s="1184"/>
      <c r="P88" s="1184"/>
      <c r="Q88" s="1184"/>
      <c r="R88" s="1184"/>
      <c r="S88" s="1185"/>
      <c r="T88" s="1185"/>
      <c r="U88" s="1185"/>
      <c r="V88" s="1185"/>
      <c r="W88" s="1186"/>
      <c r="X88" s="1140"/>
      <c r="Y88" s="1140"/>
      <c r="Z88" s="1140"/>
      <c r="AA88" s="1140"/>
      <c r="AB88" s="1140"/>
      <c r="AC88" s="194"/>
      <c r="AD88" s="194"/>
      <c r="AE88" s="194"/>
      <c r="AF88" s="194"/>
      <c r="AG88" s="194"/>
      <c r="AH88" s="194"/>
      <c r="AI88" s="194"/>
      <c r="AJ88" s="194"/>
      <c r="AK88" s="194"/>
      <c r="AL88" s="194"/>
      <c r="AM88" s="194"/>
      <c r="AN88" s="194"/>
      <c r="AO88" s="194"/>
      <c r="AP88" s="194"/>
      <c r="AQ88" s="194"/>
    </row>
    <row r="89" spans="1:43" s="1933" customFormat="1" ht="11.25" hidden="1" customHeight="1">
      <c r="A89" s="194"/>
      <c r="B89" s="194"/>
      <c r="Y89" s="1140"/>
      <c r="Z89" s="1140"/>
      <c r="AA89" s="1140"/>
      <c r="AB89" s="1140"/>
      <c r="AC89" s="194"/>
      <c r="AD89" s="194"/>
      <c r="AE89" s="194"/>
      <c r="AF89" s="194"/>
      <c r="AG89" s="194"/>
      <c r="AH89" s="194"/>
      <c r="AI89" s="194"/>
      <c r="AJ89" s="194"/>
      <c r="AK89" s="194"/>
      <c r="AL89" s="194"/>
      <c r="AM89" s="194"/>
      <c r="AN89" s="194"/>
      <c r="AO89" s="194"/>
      <c r="AP89" s="194"/>
      <c r="AQ89" s="194"/>
    </row>
    <row r="90" spans="1:43" s="1933" customFormat="1" ht="17.25" hidden="1" customHeight="1">
      <c r="A90" s="246"/>
      <c r="C90" s="131"/>
      <c r="D90" s="2027">
        <v>1</v>
      </c>
      <c r="E90" s="2029" t="s">
        <v>241</v>
      </c>
      <c r="F90" s="2031" t="s">
        <v>55</v>
      </c>
      <c r="G90" s="2034"/>
      <c r="H90" s="2036"/>
      <c r="I90" s="2038"/>
      <c r="J90" s="2040"/>
      <c r="K90" s="2025"/>
      <c r="L90" s="2025"/>
      <c r="M90" s="2025"/>
      <c r="N90" s="2043"/>
      <c r="O90" s="2025"/>
      <c r="P90" s="2025"/>
      <c r="Q90" s="2025"/>
      <c r="R90" s="2046"/>
      <c r="S90" s="2025"/>
      <c r="T90" s="1331"/>
      <c r="U90" s="1331"/>
      <c r="V90" s="1333"/>
      <c r="W90" s="1179"/>
      <c r="Y90" s="1147"/>
      <c r="Z90" s="1147"/>
      <c r="AA90" s="1147"/>
      <c r="AB90" s="1147"/>
      <c r="AC90" s="1226" t="s">
        <v>242</v>
      </c>
      <c r="AD90" s="1226" t="s">
        <v>243</v>
      </c>
      <c r="AE90" s="1226" t="s">
        <v>244</v>
      </c>
      <c r="AF90" s="1226" t="s">
        <v>245</v>
      </c>
      <c r="AG90" s="1226"/>
      <c r="AH90" s="1226" t="str">
        <f>IF($E$90=0,"",$E$90)</f>
        <v>Тариф на горячую воду (горячее водоснабжение)</v>
      </c>
      <c r="AI90" s="1226" t="str">
        <f>IF($G$90=0,"",$G$90)</f>
        <v/>
      </c>
      <c r="AJ90" s="1226" t="str">
        <f>IF($J$90=0,"",$J$90)</f>
        <v/>
      </c>
      <c r="AK90" s="1226" t="str">
        <f>IF($K$90="нет","без дифференциации",IF($N$90=0,"",$N$90))</f>
        <v/>
      </c>
      <c r="AL90" s="1226" t="str">
        <f>IF($O$90="нет","без дифференциации",IF($R$90=0,"",$R$90))</f>
        <v/>
      </c>
      <c r="AM90" s="1226" t="str">
        <f>IF($S$90="нет","без дифференциации",IF($V$90=0,"",$V$90))</f>
        <v/>
      </c>
      <c r="AN90" s="1226">
        <f>$I$90</f>
        <v>0</v>
      </c>
      <c r="AO90" s="1226" t="str">
        <f>$I$90&amp;"."&amp;$M$90</f>
        <v>.</v>
      </c>
      <c r="AP90" s="1226" t="str">
        <f>$I$90&amp;"."&amp;$M$90&amp;"."&amp;$Q$90</f>
        <v>..</v>
      </c>
      <c r="AQ90" s="1226" t="str">
        <f>$I$90&amp;"."&amp;$M$90&amp;"."&amp;$Q$90&amp;"."&amp;$U$90</f>
        <v>...</v>
      </c>
    </row>
    <row r="91" spans="1:43" s="1933" customFormat="1" ht="17.25" hidden="1" customHeight="1">
      <c r="A91" s="246"/>
      <c r="C91" s="245"/>
      <c r="D91" s="2027"/>
      <c r="E91" s="2029"/>
      <c r="F91" s="2032"/>
      <c r="G91" s="2034"/>
      <c r="H91" s="2037"/>
      <c r="I91" s="2039"/>
      <c r="J91" s="2041"/>
      <c r="K91" s="2026"/>
      <c r="L91" s="2026"/>
      <c r="M91" s="2026"/>
      <c r="N91" s="2044"/>
      <c r="O91" s="2026"/>
      <c r="P91" s="2026"/>
      <c r="Q91" s="2026"/>
      <c r="R91" s="2045"/>
      <c r="S91" s="2026"/>
      <c r="T91" s="1180"/>
      <c r="U91" s="1180"/>
      <c r="V91" s="1180"/>
      <c r="W91" s="1181"/>
      <c r="Y91" s="1140"/>
      <c r="Z91" s="1140"/>
      <c r="AA91" s="1140"/>
      <c r="AB91" s="1140"/>
      <c r="AC91" s="194"/>
      <c r="AD91" s="194"/>
      <c r="AE91" s="194"/>
      <c r="AF91" s="194"/>
      <c r="AG91" s="194"/>
      <c r="AH91" s="194"/>
      <c r="AI91" s="194"/>
      <c r="AJ91" s="194"/>
      <c r="AK91" s="194"/>
      <c r="AL91" s="194"/>
      <c r="AM91" s="194"/>
      <c r="AN91" s="194"/>
      <c r="AO91" s="194"/>
      <c r="AP91" s="194"/>
      <c r="AQ91" s="194"/>
    </row>
    <row r="92" spans="1:43" s="1933" customFormat="1" ht="17.25" hidden="1" customHeight="1">
      <c r="A92" s="246"/>
      <c r="C92" s="131"/>
      <c r="D92" s="2027"/>
      <c r="E92" s="2029"/>
      <c r="F92" s="2032"/>
      <c r="G92" s="2034"/>
      <c r="H92" s="2037"/>
      <c r="I92" s="2039"/>
      <c r="J92" s="2042"/>
      <c r="K92" s="2026"/>
      <c r="L92" s="2026"/>
      <c r="M92" s="2026"/>
      <c r="N92" s="2045"/>
      <c r="O92" s="2026"/>
      <c r="P92" s="1332"/>
      <c r="Q92" s="1180"/>
      <c r="R92" s="1180"/>
      <c r="S92" s="255"/>
      <c r="T92" s="255"/>
      <c r="U92" s="255"/>
      <c r="V92" s="255"/>
      <c r="W92" s="1181"/>
      <c r="Y92" s="1147"/>
      <c r="Z92" s="1147"/>
      <c r="AA92" s="1147"/>
      <c r="AB92" s="1147"/>
      <c r="AC92" s="1226"/>
      <c r="AD92" s="1226"/>
      <c r="AE92" s="1226"/>
      <c r="AF92" s="1226"/>
      <c r="AG92" s="1226"/>
      <c r="AH92" s="1226"/>
      <c r="AI92" s="1226"/>
      <c r="AJ92" s="1226"/>
      <c r="AK92" s="1226"/>
      <c r="AL92" s="1226"/>
      <c r="AM92" s="1226"/>
      <c r="AN92" s="1226"/>
      <c r="AO92" s="1226"/>
      <c r="AP92" s="1226"/>
      <c r="AQ92" s="1226"/>
    </row>
    <row r="93" spans="1:43" s="1933" customFormat="1" ht="17.25" hidden="1" customHeight="1">
      <c r="A93" s="246"/>
      <c r="C93" s="245"/>
      <c r="D93" s="2027"/>
      <c r="E93" s="2029"/>
      <c r="F93" s="2032"/>
      <c r="G93" s="2034"/>
      <c r="H93" s="2037"/>
      <c r="I93" s="2039"/>
      <c r="J93" s="2042"/>
      <c r="K93" s="2026"/>
      <c r="L93" s="1180"/>
      <c r="M93" s="1180"/>
      <c r="N93" s="1180"/>
      <c r="O93" s="1180"/>
      <c r="P93" s="1180"/>
      <c r="Q93" s="1180"/>
      <c r="R93" s="1180"/>
      <c r="S93" s="255"/>
      <c r="T93" s="255"/>
      <c r="U93" s="255"/>
      <c r="V93" s="255"/>
      <c r="W93" s="1181"/>
      <c r="Y93" s="1140"/>
      <c r="Z93" s="1140"/>
      <c r="AA93" s="1140"/>
      <c r="AB93" s="1140"/>
      <c r="AC93" s="194"/>
      <c r="AD93" s="194"/>
      <c r="AE93" s="194"/>
      <c r="AF93" s="194"/>
      <c r="AG93" s="194"/>
      <c r="AH93" s="194"/>
      <c r="AI93" s="194"/>
      <c r="AJ93" s="194"/>
      <c r="AK93" s="194"/>
      <c r="AL93" s="194"/>
      <c r="AM93" s="194"/>
      <c r="AN93" s="194"/>
      <c r="AO93" s="194"/>
      <c r="AP93" s="194"/>
      <c r="AQ93" s="194"/>
    </row>
    <row r="94" spans="1:43" s="1933" customFormat="1" ht="17.25" hidden="1" customHeight="1">
      <c r="A94" s="246"/>
      <c r="C94" s="245"/>
      <c r="D94" s="2028"/>
      <c r="E94" s="2030"/>
      <c r="F94" s="2033"/>
      <c r="G94" s="2035"/>
      <c r="H94" s="1183"/>
      <c r="I94" s="1184"/>
      <c r="J94" s="1184"/>
      <c r="K94" s="1184"/>
      <c r="L94" s="1184"/>
      <c r="M94" s="1184"/>
      <c r="N94" s="1184"/>
      <c r="O94" s="1184"/>
      <c r="P94" s="1184"/>
      <c r="Q94" s="1184"/>
      <c r="R94" s="1184"/>
      <c r="S94" s="1185"/>
      <c r="T94" s="1185"/>
      <c r="U94" s="1185"/>
      <c r="V94" s="1185"/>
      <c r="W94" s="1186"/>
      <c r="Y94" s="1140"/>
      <c r="Z94" s="1140"/>
      <c r="AA94" s="1140"/>
      <c r="AB94" s="1140"/>
      <c r="AC94" s="194"/>
      <c r="AD94" s="194"/>
      <c r="AE94" s="194"/>
      <c r="AF94" s="194"/>
      <c r="AG94" s="194"/>
      <c r="AH94" s="194"/>
      <c r="AI94" s="194"/>
      <c r="AJ94" s="194"/>
      <c r="AK94" s="194"/>
      <c r="AL94" s="194"/>
      <c r="AM94" s="194"/>
      <c r="AN94" s="194"/>
      <c r="AO94" s="194"/>
      <c r="AP94" s="194"/>
      <c r="AQ94" s="194"/>
    </row>
    <row r="95" spans="1:43" s="1933" customFormat="1" ht="17.25" hidden="1" customHeight="1">
      <c r="A95" s="246"/>
      <c r="C95" s="131"/>
      <c r="D95" s="2027">
        <v>2</v>
      </c>
      <c r="E95" s="2029" t="s">
        <v>246</v>
      </c>
      <c r="F95" s="2031" t="s">
        <v>55</v>
      </c>
      <c r="G95" s="2034"/>
      <c r="H95" s="2036"/>
      <c r="I95" s="2038"/>
      <c r="J95" s="2040"/>
      <c r="K95" s="2025"/>
      <c r="L95" s="2025"/>
      <c r="M95" s="2025"/>
      <c r="N95" s="2043"/>
      <c r="O95" s="2025"/>
      <c r="P95" s="2025"/>
      <c r="Q95" s="2025"/>
      <c r="R95" s="2046"/>
      <c r="S95" s="2025"/>
      <c r="T95" s="1331"/>
      <c r="U95" s="1331"/>
      <c r="V95" s="1333"/>
      <c r="W95" s="1179"/>
      <c r="X95" s="1147"/>
      <c r="Y95" s="1147"/>
      <c r="Z95" s="1147"/>
      <c r="AA95" s="1147"/>
      <c r="AB95" s="1147"/>
      <c r="AC95" s="1226" t="s">
        <v>247</v>
      </c>
      <c r="AD95" s="1226" t="s">
        <v>248</v>
      </c>
      <c r="AE95" s="1226" t="s">
        <v>249</v>
      </c>
      <c r="AF95" s="1226" t="s">
        <v>250</v>
      </c>
      <c r="AG95" s="1226"/>
      <c r="AH95" s="1226" t="str">
        <f>IF($E$95=0,"",$E$95)</f>
        <v>Тариф на транспортировку горячей воды</v>
      </c>
      <c r="AI95" s="1226" t="str">
        <f>IF($G$95=0,"",$G$95)</f>
        <v/>
      </c>
      <c r="AJ95" s="1226" t="str">
        <f>IF($J$95=0,"",$J$95)</f>
        <v/>
      </c>
      <c r="AK95" s="1226" t="str">
        <f>IF($K$95="нет","без дифференциации",IF($N$95=0,"",$N$95))</f>
        <v/>
      </c>
      <c r="AL95" s="1226" t="str">
        <f>IF($O$95="нет","без дифференциации",IF($R$95=0,"",$R$95))</f>
        <v/>
      </c>
      <c r="AM95" s="1226" t="str">
        <f>IF($S$95="нет","без дифференциации",IF($V$95=0,"",$V$95))</f>
        <v/>
      </c>
      <c r="AN95" s="1379">
        <f>$I$95</f>
        <v>0</v>
      </c>
      <c r="AO95" s="1226" t="str">
        <f>$I$95&amp;"."&amp;$M$95</f>
        <v>.</v>
      </c>
      <c r="AP95" s="194" t="str">
        <f>$I$95&amp;"."&amp;$M$95&amp;"."&amp;$Q$95</f>
        <v>..</v>
      </c>
      <c r="AQ95" s="194" t="str">
        <f>$I$95&amp;"."&amp;$M$95&amp;"."&amp;$Q$95&amp;"."&amp;$U$95</f>
        <v>...</v>
      </c>
    </row>
    <row r="96" spans="1:43" s="1933" customFormat="1" ht="17.25" hidden="1" customHeight="1">
      <c r="A96" s="246"/>
      <c r="C96" s="245"/>
      <c r="D96" s="2027"/>
      <c r="E96" s="2029"/>
      <c r="F96" s="2032"/>
      <c r="G96" s="2034"/>
      <c r="H96" s="2037"/>
      <c r="I96" s="2039"/>
      <c r="J96" s="2041"/>
      <c r="K96" s="2026"/>
      <c r="L96" s="2026"/>
      <c r="M96" s="2026"/>
      <c r="N96" s="2044"/>
      <c r="O96" s="2026"/>
      <c r="P96" s="2026"/>
      <c r="Q96" s="2026"/>
      <c r="R96" s="2045"/>
      <c r="S96" s="2026"/>
      <c r="T96" s="1180"/>
      <c r="U96" s="1180"/>
      <c r="V96" s="1180"/>
      <c r="W96" s="1181"/>
      <c r="X96" s="1140"/>
      <c r="Y96" s="1140"/>
      <c r="Z96" s="1140"/>
      <c r="AA96" s="1140"/>
      <c r="AB96" s="1140"/>
      <c r="AC96" s="194"/>
      <c r="AD96" s="194"/>
      <c r="AE96" s="194"/>
      <c r="AF96" s="194"/>
      <c r="AG96" s="194"/>
      <c r="AH96" s="194"/>
      <c r="AI96" s="194"/>
      <c r="AJ96" s="194"/>
      <c r="AK96" s="194"/>
      <c r="AL96" s="194"/>
      <c r="AM96" s="194"/>
      <c r="AN96" s="194"/>
      <c r="AO96" s="194"/>
      <c r="AP96" s="194"/>
      <c r="AQ96" s="194"/>
    </row>
    <row r="97" spans="1:43" s="1933" customFormat="1" ht="17.25" hidden="1" customHeight="1">
      <c r="A97" s="246"/>
      <c r="C97" s="245"/>
      <c r="D97" s="2028"/>
      <c r="E97" s="2030"/>
      <c r="F97" s="2032"/>
      <c r="G97" s="2035"/>
      <c r="H97" s="2037"/>
      <c r="I97" s="2039"/>
      <c r="J97" s="2042"/>
      <c r="K97" s="2026"/>
      <c r="L97" s="2026"/>
      <c r="M97" s="2026"/>
      <c r="N97" s="2045"/>
      <c r="O97" s="2026"/>
      <c r="P97" s="1332"/>
      <c r="Q97" s="1180"/>
      <c r="R97" s="1180"/>
      <c r="S97" s="255"/>
      <c r="T97" s="255"/>
      <c r="U97" s="255"/>
      <c r="V97" s="255"/>
      <c r="W97" s="1181"/>
      <c r="X97" s="1140"/>
      <c r="Y97" s="1140"/>
      <c r="Z97" s="1140"/>
      <c r="AA97" s="1140"/>
      <c r="AB97" s="1140"/>
      <c r="AC97" s="194"/>
      <c r="AD97" s="194"/>
      <c r="AE97" s="194"/>
      <c r="AF97" s="194"/>
      <c r="AG97" s="194"/>
      <c r="AH97" s="194"/>
      <c r="AI97" s="194"/>
      <c r="AJ97" s="194"/>
      <c r="AK97" s="194"/>
      <c r="AL97" s="194"/>
      <c r="AM97" s="194"/>
      <c r="AN97" s="194"/>
      <c r="AO97" s="194"/>
      <c r="AP97" s="194"/>
      <c r="AQ97" s="194"/>
    </row>
    <row r="98" spans="1:43" s="1933" customFormat="1" ht="17.25" hidden="1" customHeight="1">
      <c r="A98" s="246"/>
      <c r="C98" s="245"/>
      <c r="D98" s="2028"/>
      <c r="E98" s="2030"/>
      <c r="F98" s="2032"/>
      <c r="G98" s="2035"/>
      <c r="H98" s="2037"/>
      <c r="I98" s="2039"/>
      <c r="J98" s="2042"/>
      <c r="K98" s="2026"/>
      <c r="L98" s="1180"/>
      <c r="M98" s="1180"/>
      <c r="N98" s="1180"/>
      <c r="O98" s="1180"/>
      <c r="P98" s="1180"/>
      <c r="Q98" s="1180"/>
      <c r="R98" s="1180"/>
      <c r="S98" s="255"/>
      <c r="T98" s="255"/>
      <c r="U98" s="255"/>
      <c r="V98" s="255"/>
      <c r="W98" s="1181"/>
      <c r="X98" s="1140"/>
      <c r="Y98" s="1140"/>
      <c r="Z98" s="1140"/>
      <c r="AA98" s="1140"/>
      <c r="AB98" s="1140"/>
      <c r="AC98" s="194"/>
      <c r="AD98" s="194"/>
      <c r="AE98" s="194"/>
      <c r="AF98" s="194"/>
      <c r="AG98" s="194"/>
      <c r="AH98" s="194"/>
      <c r="AI98" s="194"/>
      <c r="AJ98" s="194"/>
      <c r="AK98" s="194"/>
      <c r="AL98" s="194"/>
      <c r="AM98" s="194"/>
      <c r="AN98" s="194"/>
      <c r="AO98" s="194"/>
      <c r="AP98" s="194"/>
      <c r="AQ98" s="194"/>
    </row>
    <row r="99" spans="1:43" s="1933" customFormat="1" ht="17.25" hidden="1" customHeight="1">
      <c r="A99" s="246"/>
      <c r="C99" s="245"/>
      <c r="D99" s="2028"/>
      <c r="E99" s="2030"/>
      <c r="F99" s="2033"/>
      <c r="G99" s="2035"/>
      <c r="H99" s="1183"/>
      <c r="I99" s="1184"/>
      <c r="J99" s="1184"/>
      <c r="K99" s="1184"/>
      <c r="L99" s="1184"/>
      <c r="M99" s="1184"/>
      <c r="N99" s="1184"/>
      <c r="O99" s="1184"/>
      <c r="P99" s="1184"/>
      <c r="Q99" s="1184"/>
      <c r="R99" s="1184"/>
      <c r="S99" s="1185"/>
      <c r="T99" s="1185"/>
      <c r="U99" s="1185"/>
      <c r="V99" s="1185"/>
      <c r="W99" s="1186"/>
      <c r="X99" s="1140"/>
      <c r="Y99" s="1140"/>
      <c r="Z99" s="1140"/>
      <c r="AA99" s="1140"/>
      <c r="AB99" s="1140"/>
      <c r="AC99" s="194"/>
      <c r="AD99" s="194"/>
      <c r="AE99" s="194"/>
      <c r="AF99" s="194"/>
      <c r="AG99" s="194"/>
      <c r="AH99" s="194"/>
      <c r="AI99" s="194"/>
      <c r="AJ99" s="194"/>
      <c r="AK99" s="194"/>
      <c r="AL99" s="194"/>
      <c r="AM99" s="194"/>
      <c r="AN99" s="194"/>
      <c r="AO99" s="194"/>
      <c r="AP99" s="194"/>
      <c r="AQ99" s="194"/>
    </row>
    <row r="100" spans="1:43" s="1933" customFormat="1" ht="17.25" hidden="1" customHeight="1">
      <c r="A100" s="246"/>
      <c r="C100" s="131"/>
      <c r="D100" s="2027">
        <v>3</v>
      </c>
      <c r="E100" s="2029" t="s">
        <v>251</v>
      </c>
      <c r="F100" s="2031" t="s">
        <v>55</v>
      </c>
      <c r="G100" s="2034"/>
      <c r="H100" s="2036"/>
      <c r="I100" s="2038"/>
      <c r="J100" s="2040"/>
      <c r="K100" s="2025"/>
      <c r="L100" s="2025"/>
      <c r="M100" s="2025"/>
      <c r="N100" s="2043"/>
      <c r="O100" s="2025"/>
      <c r="P100" s="2025"/>
      <c r="Q100" s="2025"/>
      <c r="R100" s="2046"/>
      <c r="S100" s="2025"/>
      <c r="T100" s="1331"/>
      <c r="U100" s="1331"/>
      <c r="V100" s="1333"/>
      <c r="W100" s="1179"/>
      <c r="X100" s="1147"/>
      <c r="Y100" s="1147"/>
      <c r="Z100" s="1147"/>
      <c r="AA100" s="1147"/>
      <c r="AB100" s="1147"/>
      <c r="AC100" s="1226" t="s">
        <v>252</v>
      </c>
      <c r="AD100" s="1226" t="s">
        <v>253</v>
      </c>
      <c r="AE100" s="1226" t="s">
        <v>254</v>
      </c>
      <c r="AF100" s="1226" t="s">
        <v>255</v>
      </c>
      <c r="AG100" s="1226"/>
      <c r="AH100" s="1226" t="str">
        <f>IF($E$100=0,"",$E$100)</f>
        <v>Тариф на подключение (технологическое присоединение) к централизованной системе горячего водоснабжения</v>
      </c>
      <c r="AI100" s="1226" t="str">
        <f>IF($G$100=0,"",$G$100)</f>
        <v/>
      </c>
      <c r="AJ100" s="1226" t="str">
        <f>IF($J$100=0,"",$J$100)</f>
        <v/>
      </c>
      <c r="AK100" s="1226" t="str">
        <f>IF($K$100="нет","без дифференциации",IF($N$100=0,"",$N$100))</f>
        <v/>
      </c>
      <c r="AL100" s="1226" t="str">
        <f>IF($O$100="нет","без дифференциации",IF($R$100=0,"",$R$100))</f>
        <v/>
      </c>
      <c r="AM100" s="1226" t="str">
        <f>IF($S$100="нет","без дифференциации",IF($V$100=0,"",$V$100))</f>
        <v/>
      </c>
      <c r="AN100" s="1379">
        <f>$I$100</f>
        <v>0</v>
      </c>
      <c r="AO100" s="1226" t="str">
        <f>$I$100&amp;"."&amp;$M$100</f>
        <v>.</v>
      </c>
      <c r="AP100" s="194" t="str">
        <f>$I$100&amp;"."&amp;$M$100&amp;"."&amp;$Q$100</f>
        <v>..</v>
      </c>
      <c r="AQ100" s="194" t="str">
        <f>$I$100&amp;"."&amp;$M$100&amp;"."&amp;$Q$100&amp;"."&amp;$U$100</f>
        <v>...</v>
      </c>
    </row>
    <row r="101" spans="1:43" s="1933" customFormat="1" ht="17.25" hidden="1" customHeight="1">
      <c r="A101" s="246"/>
      <c r="C101" s="245"/>
      <c r="D101" s="2027"/>
      <c r="E101" s="2029"/>
      <c r="F101" s="2032"/>
      <c r="G101" s="2034"/>
      <c r="H101" s="2037"/>
      <c r="I101" s="2039"/>
      <c r="J101" s="2041"/>
      <c r="K101" s="2026"/>
      <c r="L101" s="2026"/>
      <c r="M101" s="2026"/>
      <c r="N101" s="2044"/>
      <c r="O101" s="2026"/>
      <c r="P101" s="2026"/>
      <c r="Q101" s="2026"/>
      <c r="R101" s="2045"/>
      <c r="S101" s="2026"/>
      <c r="T101" s="1180"/>
      <c r="U101" s="1180"/>
      <c r="V101" s="1180"/>
      <c r="W101" s="1181"/>
      <c r="X101" s="1140"/>
      <c r="Y101" s="1140"/>
      <c r="Z101" s="1140"/>
      <c r="AA101" s="1140"/>
      <c r="AB101" s="1140"/>
      <c r="AC101" s="194"/>
      <c r="AD101" s="194"/>
      <c r="AE101" s="194"/>
      <c r="AF101" s="194"/>
      <c r="AG101" s="194"/>
      <c r="AH101" s="194"/>
      <c r="AI101" s="194"/>
      <c r="AJ101" s="194"/>
      <c r="AK101" s="194"/>
      <c r="AL101" s="194"/>
      <c r="AM101" s="194"/>
      <c r="AN101" s="194"/>
      <c r="AO101" s="194"/>
      <c r="AP101" s="194"/>
      <c r="AQ101" s="194"/>
    </row>
    <row r="102" spans="1:43" s="1933" customFormat="1" ht="17.25" hidden="1" customHeight="1">
      <c r="A102" s="246"/>
      <c r="C102" s="245"/>
      <c r="D102" s="2028"/>
      <c r="E102" s="2030"/>
      <c r="F102" s="2032"/>
      <c r="G102" s="2035"/>
      <c r="H102" s="2037"/>
      <c r="I102" s="2039"/>
      <c r="J102" s="2042"/>
      <c r="K102" s="2026"/>
      <c r="L102" s="2026"/>
      <c r="M102" s="2026"/>
      <c r="N102" s="2045"/>
      <c r="O102" s="2026"/>
      <c r="P102" s="1332"/>
      <c r="Q102" s="1180"/>
      <c r="R102" s="1180"/>
      <c r="S102" s="255"/>
      <c r="T102" s="255"/>
      <c r="U102" s="255"/>
      <c r="V102" s="255"/>
      <c r="W102" s="1181"/>
      <c r="X102" s="1140"/>
      <c r="Y102" s="1140"/>
      <c r="Z102" s="1140"/>
      <c r="AA102" s="1140"/>
      <c r="AB102" s="1140"/>
      <c r="AC102" s="194"/>
      <c r="AD102" s="194"/>
      <c r="AE102" s="194"/>
      <c r="AF102" s="194"/>
      <c r="AG102" s="194"/>
      <c r="AH102" s="194"/>
      <c r="AI102" s="194"/>
      <c r="AJ102" s="194"/>
      <c r="AK102" s="194"/>
      <c r="AL102" s="194"/>
      <c r="AM102" s="194"/>
      <c r="AN102" s="194"/>
      <c r="AO102" s="194"/>
      <c r="AP102" s="194"/>
      <c r="AQ102" s="194"/>
    </row>
    <row r="103" spans="1:43" s="1933" customFormat="1" ht="17.25" hidden="1" customHeight="1">
      <c r="A103" s="246"/>
      <c r="C103" s="245"/>
      <c r="D103" s="2028"/>
      <c r="E103" s="2030"/>
      <c r="F103" s="2032"/>
      <c r="G103" s="2035"/>
      <c r="H103" s="2037"/>
      <c r="I103" s="2039"/>
      <c r="J103" s="2042"/>
      <c r="K103" s="2026"/>
      <c r="L103" s="1180"/>
      <c r="M103" s="1180"/>
      <c r="N103" s="1180"/>
      <c r="O103" s="1180"/>
      <c r="P103" s="1180"/>
      <c r="Q103" s="1180"/>
      <c r="R103" s="1180"/>
      <c r="S103" s="255"/>
      <c r="T103" s="255"/>
      <c r="U103" s="255"/>
      <c r="V103" s="255"/>
      <c r="W103" s="1181"/>
      <c r="X103" s="1140"/>
      <c r="Y103" s="1140"/>
      <c r="Z103" s="1140"/>
      <c r="AA103" s="1140"/>
      <c r="AB103" s="1140"/>
      <c r="AC103" s="194"/>
      <c r="AD103" s="194"/>
      <c r="AE103" s="194"/>
      <c r="AF103" s="194"/>
      <c r="AG103" s="194"/>
      <c r="AH103" s="194"/>
      <c r="AI103" s="194"/>
      <c r="AJ103" s="194"/>
      <c r="AK103" s="194"/>
      <c r="AL103" s="194"/>
      <c r="AM103" s="194"/>
      <c r="AN103" s="194"/>
      <c r="AO103" s="194"/>
      <c r="AP103" s="194"/>
      <c r="AQ103" s="194"/>
    </row>
    <row r="104" spans="1:43" s="1933" customFormat="1" ht="17.25" hidden="1" customHeight="1">
      <c r="A104" s="246"/>
      <c r="C104" s="245"/>
      <c r="D104" s="2028"/>
      <c r="E104" s="2030"/>
      <c r="F104" s="2033"/>
      <c r="G104" s="2035"/>
      <c r="H104" s="1183"/>
      <c r="I104" s="1184"/>
      <c r="J104" s="1184"/>
      <c r="K104" s="1184"/>
      <c r="L104" s="1184"/>
      <c r="M104" s="1184"/>
      <c r="N104" s="1184"/>
      <c r="O104" s="1184"/>
      <c r="P104" s="1184"/>
      <c r="Q104" s="1184"/>
      <c r="R104" s="1184"/>
      <c r="S104" s="1185"/>
      <c r="T104" s="1185"/>
      <c r="U104" s="1185"/>
      <c r="V104" s="1185"/>
      <c r="W104" s="1186"/>
      <c r="X104" s="1140"/>
      <c r="Y104" s="1140"/>
      <c r="Z104" s="1140"/>
      <c r="AA104" s="1140"/>
      <c r="AB104" s="1140"/>
      <c r="AC104" s="194"/>
      <c r="AD104" s="194"/>
      <c r="AE104" s="194"/>
      <c r="AF104" s="194"/>
      <c r="AG104" s="194"/>
      <c r="AH104" s="194"/>
      <c r="AI104" s="194"/>
      <c r="AJ104" s="194"/>
      <c r="AK104" s="194"/>
      <c r="AL104" s="194"/>
      <c r="AM104" s="194"/>
      <c r="AN104" s="194"/>
      <c r="AO104" s="194"/>
      <c r="AP104" s="194"/>
      <c r="AQ104" s="194"/>
    </row>
    <row r="105" spans="1:43" s="1933" customFormat="1" ht="11.25" hidden="1" customHeight="1">
      <c r="A105" s="194"/>
      <c r="B105" s="194"/>
      <c r="Y105" s="1140"/>
      <c r="Z105" s="1140"/>
      <c r="AA105" s="1140"/>
      <c r="AB105" s="1140"/>
      <c r="AC105" s="194"/>
      <c r="AD105" s="194"/>
      <c r="AE105" s="194"/>
      <c r="AF105" s="194"/>
      <c r="AG105" s="194"/>
      <c r="AH105" s="194"/>
      <c r="AI105" s="194"/>
      <c r="AJ105" s="194"/>
      <c r="AK105" s="194"/>
      <c r="AL105" s="194"/>
      <c r="AM105" s="194"/>
      <c r="AN105" s="194"/>
      <c r="AO105" s="194"/>
      <c r="AP105" s="194"/>
      <c r="AQ105" s="194"/>
    </row>
    <row r="106" spans="1:43" s="1933" customFormat="1" ht="17.25" hidden="1" customHeight="1">
      <c r="A106" s="246"/>
      <c r="C106" s="131"/>
      <c r="D106" s="2027">
        <v>1</v>
      </c>
      <c r="E106" s="2029" t="s">
        <v>256</v>
      </c>
      <c r="F106" s="2031" t="s">
        <v>55</v>
      </c>
      <c r="G106" s="2034"/>
      <c r="H106" s="2036"/>
      <c r="I106" s="2038"/>
      <c r="J106" s="2040"/>
      <c r="K106" s="2025"/>
      <c r="L106" s="2025"/>
      <c r="M106" s="2025"/>
      <c r="N106" s="2043"/>
      <c r="O106" s="2025"/>
      <c r="P106" s="2025"/>
      <c r="Q106" s="2025"/>
      <c r="R106" s="2046"/>
      <c r="S106" s="2025"/>
      <c r="T106" s="1331"/>
      <c r="U106" s="1331"/>
      <c r="V106" s="1333"/>
      <c r="W106" s="1179"/>
      <c r="Y106" s="1147"/>
      <c r="Z106" s="1147"/>
      <c r="AA106" s="1147"/>
      <c r="AB106" s="1147"/>
      <c r="AC106" s="1226" t="s">
        <v>257</v>
      </c>
      <c r="AD106" s="1226" t="s">
        <v>258</v>
      </c>
      <c r="AE106" s="1226" t="s">
        <v>259</v>
      </c>
      <c r="AF106" s="1226" t="s">
        <v>260</v>
      </c>
      <c r="AG106" s="1226"/>
      <c r="AH106" s="1226" t="str">
        <f>IF($E$106=0,"",$E$106)</f>
        <v>Тариф на водоотведение</v>
      </c>
      <c r="AI106" s="1226" t="str">
        <f>IF($G$106=0,"",$G$106)</f>
        <v/>
      </c>
      <c r="AJ106" s="1226" t="str">
        <f>IF($J$106=0,"",$J$106)</f>
        <v/>
      </c>
      <c r="AK106" s="1226" t="str">
        <f>IF($K$106="нет","без дифференциации",IF($N$106=0,"",$N$106))</f>
        <v/>
      </c>
      <c r="AL106" s="1226" t="str">
        <f>IF($O$106="нет","без дифференциации",IF($R$106=0,"",$R$106))</f>
        <v/>
      </c>
      <c r="AM106" s="1226" t="str">
        <f>IF($S$106="нет","без дифференциации",IF($V$106=0,"",$V$106))</f>
        <v/>
      </c>
      <c r="AN106" s="1226">
        <f>$I$106</f>
        <v>0</v>
      </c>
      <c r="AO106" s="1226" t="str">
        <f>$I$106&amp;"."&amp;$M$106</f>
        <v>.</v>
      </c>
      <c r="AP106" s="1226" t="str">
        <f>$I$106&amp;"."&amp;$M$106&amp;"."&amp;$Q$106</f>
        <v>..</v>
      </c>
      <c r="AQ106" s="1226" t="str">
        <f>$I$106&amp;"."&amp;$M$106&amp;"."&amp;$Q$106&amp;"."&amp;$U$106</f>
        <v>...</v>
      </c>
    </row>
    <row r="107" spans="1:43" s="1933" customFormat="1" ht="17.25" hidden="1" customHeight="1">
      <c r="A107" s="246"/>
      <c r="C107" s="245"/>
      <c r="D107" s="2027"/>
      <c r="E107" s="2029"/>
      <c r="F107" s="2032"/>
      <c r="G107" s="2034"/>
      <c r="H107" s="2037"/>
      <c r="I107" s="2039"/>
      <c r="J107" s="2041"/>
      <c r="K107" s="2026"/>
      <c r="L107" s="2026"/>
      <c r="M107" s="2026"/>
      <c r="N107" s="2044"/>
      <c r="O107" s="2026"/>
      <c r="P107" s="2026"/>
      <c r="Q107" s="2026"/>
      <c r="R107" s="2045"/>
      <c r="S107" s="2026"/>
      <c r="T107" s="1180"/>
      <c r="U107" s="1180"/>
      <c r="V107" s="1180"/>
      <c r="W107" s="1181"/>
      <c r="Y107" s="1140"/>
      <c r="Z107" s="1140"/>
      <c r="AA107" s="1140"/>
      <c r="AB107" s="1140"/>
      <c r="AC107" s="194"/>
      <c r="AD107" s="194"/>
      <c r="AE107" s="194"/>
      <c r="AF107" s="194"/>
      <c r="AG107" s="194"/>
      <c r="AH107" s="194"/>
      <c r="AI107" s="194"/>
      <c r="AJ107" s="194"/>
      <c r="AK107" s="194"/>
      <c r="AL107" s="194"/>
      <c r="AM107" s="194"/>
      <c r="AN107" s="194"/>
      <c r="AO107" s="194"/>
      <c r="AP107" s="194"/>
      <c r="AQ107" s="194"/>
    </row>
    <row r="108" spans="1:43" s="1933" customFormat="1" ht="17.25" hidden="1" customHeight="1">
      <c r="A108" s="246"/>
      <c r="C108" s="131"/>
      <c r="D108" s="2027"/>
      <c r="E108" s="2029"/>
      <c r="F108" s="2032"/>
      <c r="G108" s="2034"/>
      <c r="H108" s="2037"/>
      <c r="I108" s="2039"/>
      <c r="J108" s="2042"/>
      <c r="K108" s="2026"/>
      <c r="L108" s="2026"/>
      <c r="M108" s="2026"/>
      <c r="N108" s="2045"/>
      <c r="O108" s="2026"/>
      <c r="P108" s="1332"/>
      <c r="Q108" s="1180"/>
      <c r="R108" s="1180"/>
      <c r="S108" s="255"/>
      <c r="T108" s="255"/>
      <c r="U108" s="255"/>
      <c r="V108" s="255"/>
      <c r="W108" s="1181"/>
      <c r="Y108" s="1147"/>
      <c r="Z108" s="1147"/>
      <c r="AA108" s="1147"/>
      <c r="AB108" s="1147"/>
      <c r="AC108" s="1226"/>
      <c r="AD108" s="1226"/>
      <c r="AE108" s="1226"/>
      <c r="AF108" s="1226"/>
      <c r="AG108" s="1226"/>
      <c r="AH108" s="1226"/>
      <c r="AI108" s="1226"/>
      <c r="AJ108" s="1226"/>
      <c r="AK108" s="1226"/>
      <c r="AL108" s="1226"/>
      <c r="AM108" s="1226"/>
      <c r="AN108" s="1226"/>
      <c r="AO108" s="1226"/>
      <c r="AP108" s="1226"/>
      <c r="AQ108" s="1226"/>
    </row>
    <row r="109" spans="1:43" s="1933" customFormat="1" ht="17.25" hidden="1" customHeight="1">
      <c r="A109" s="246"/>
      <c r="C109" s="245"/>
      <c r="D109" s="2027"/>
      <c r="E109" s="2029"/>
      <c r="F109" s="2032"/>
      <c r="G109" s="2034"/>
      <c r="H109" s="2037"/>
      <c r="I109" s="2039"/>
      <c r="J109" s="2042"/>
      <c r="K109" s="2026"/>
      <c r="L109" s="1180"/>
      <c r="M109" s="1180"/>
      <c r="N109" s="1180"/>
      <c r="O109" s="1180"/>
      <c r="P109" s="1180"/>
      <c r="Q109" s="1180"/>
      <c r="R109" s="1180"/>
      <c r="S109" s="255"/>
      <c r="T109" s="255"/>
      <c r="U109" s="255"/>
      <c r="V109" s="255"/>
      <c r="W109" s="1181"/>
      <c r="Y109" s="1140"/>
      <c r="Z109" s="1140"/>
      <c r="AA109" s="1140"/>
      <c r="AB109" s="1140"/>
      <c r="AC109" s="194"/>
      <c r="AD109" s="194"/>
      <c r="AE109" s="194"/>
      <c r="AF109" s="194"/>
      <c r="AG109" s="194"/>
      <c r="AH109" s="194"/>
      <c r="AI109" s="194"/>
      <c r="AJ109" s="194"/>
      <c r="AK109" s="194"/>
      <c r="AL109" s="194"/>
      <c r="AM109" s="194"/>
      <c r="AN109" s="194"/>
      <c r="AO109" s="194"/>
      <c r="AP109" s="194"/>
      <c r="AQ109" s="194"/>
    </row>
    <row r="110" spans="1:43" s="1933" customFormat="1" ht="17.25" hidden="1" customHeight="1">
      <c r="A110" s="246"/>
      <c r="C110" s="245"/>
      <c r="D110" s="2028"/>
      <c r="E110" s="2030"/>
      <c r="F110" s="2033"/>
      <c r="G110" s="2035"/>
      <c r="H110" s="1183"/>
      <c r="I110" s="1184"/>
      <c r="J110" s="1184"/>
      <c r="K110" s="1184"/>
      <c r="L110" s="1184"/>
      <c r="M110" s="1184"/>
      <c r="N110" s="1184"/>
      <c r="O110" s="1184"/>
      <c r="P110" s="1184"/>
      <c r="Q110" s="1184"/>
      <c r="R110" s="1184"/>
      <c r="S110" s="1185"/>
      <c r="T110" s="1185"/>
      <c r="U110" s="1185"/>
      <c r="V110" s="1185"/>
      <c r="W110" s="1186"/>
      <c r="Y110" s="1140"/>
      <c r="Z110" s="1140"/>
      <c r="AA110" s="1140"/>
      <c r="AB110" s="1140"/>
      <c r="AC110" s="194"/>
      <c r="AD110" s="194"/>
      <c r="AE110" s="194"/>
      <c r="AF110" s="194"/>
      <c r="AG110" s="194"/>
      <c r="AH110" s="194"/>
      <c r="AI110" s="194"/>
      <c r="AJ110" s="194"/>
      <c r="AK110" s="194"/>
      <c r="AL110" s="194"/>
      <c r="AM110" s="194"/>
      <c r="AN110" s="194"/>
      <c r="AO110" s="194"/>
      <c r="AP110" s="194"/>
      <c r="AQ110" s="194"/>
    </row>
    <row r="111" spans="1:43" s="1933" customFormat="1" ht="17.25" hidden="1" customHeight="1">
      <c r="A111" s="246"/>
      <c r="C111" s="131"/>
      <c r="D111" s="2027">
        <v>2</v>
      </c>
      <c r="E111" s="2029" t="s">
        <v>261</v>
      </c>
      <c r="F111" s="2031" t="s">
        <v>55</v>
      </c>
      <c r="G111" s="2034"/>
      <c r="H111" s="2036"/>
      <c r="I111" s="2038"/>
      <c r="J111" s="2040"/>
      <c r="K111" s="2025"/>
      <c r="L111" s="2025"/>
      <c r="M111" s="2025"/>
      <c r="N111" s="2043"/>
      <c r="O111" s="2025"/>
      <c r="P111" s="2025"/>
      <c r="Q111" s="2025"/>
      <c r="R111" s="2046"/>
      <c r="S111" s="2025"/>
      <c r="T111" s="1331"/>
      <c r="U111" s="1331"/>
      <c r="V111" s="1333"/>
      <c r="W111" s="1179"/>
      <c r="X111" s="1147"/>
      <c r="Y111" s="1147"/>
      <c r="Z111" s="1147"/>
      <c r="AA111" s="1147"/>
      <c r="AB111" s="1147"/>
      <c r="AC111" s="1226" t="s">
        <v>262</v>
      </c>
      <c r="AD111" s="1226" t="s">
        <v>263</v>
      </c>
      <c r="AE111" s="1226" t="s">
        <v>264</v>
      </c>
      <c r="AF111" s="1226" t="s">
        <v>265</v>
      </c>
      <c r="AG111" s="1226"/>
      <c r="AH111" s="1226" t="str">
        <f>IF($E$111=0,"",$E$111)</f>
        <v>Тариф на транспортировку сточных вод</v>
      </c>
      <c r="AI111" s="1226" t="str">
        <f>IF($G$111=0,"",$G$111)</f>
        <v/>
      </c>
      <c r="AJ111" s="1226" t="str">
        <f>IF($J$111=0,"",$J$111)</f>
        <v/>
      </c>
      <c r="AK111" s="1226" t="str">
        <f>IF($K$111="нет","без дифференциации",IF($N$111=0,"",$N$111))</f>
        <v/>
      </c>
      <c r="AL111" s="1226" t="str">
        <f>IF($O$111="нет","без дифференциации",IF($R$111=0,"",$R$111))</f>
        <v/>
      </c>
      <c r="AM111" s="1226" t="str">
        <f>IF($S$111="нет","без дифференциации",IF($V$111=0,"",$V$111))</f>
        <v/>
      </c>
      <c r="AN111" s="1379">
        <f>$I$111</f>
        <v>0</v>
      </c>
      <c r="AO111" s="1226" t="str">
        <f>$I$111&amp;"."&amp;$M$111</f>
        <v>.</v>
      </c>
      <c r="AP111" s="194" t="str">
        <f>$I$111&amp;"."&amp;$M$111&amp;"."&amp;$Q$111</f>
        <v>..</v>
      </c>
      <c r="AQ111" s="194" t="str">
        <f>$I$111&amp;"."&amp;$M$111&amp;"."&amp;$Q$111&amp;"."&amp;$U$111</f>
        <v>...</v>
      </c>
    </row>
    <row r="112" spans="1:43" s="1933" customFormat="1" ht="17.25" hidden="1" customHeight="1">
      <c r="A112" s="246"/>
      <c r="C112" s="245"/>
      <c r="D112" s="2027"/>
      <c r="E112" s="2029"/>
      <c r="F112" s="2032"/>
      <c r="G112" s="2034"/>
      <c r="H112" s="2037"/>
      <c r="I112" s="2039"/>
      <c r="J112" s="2041"/>
      <c r="K112" s="2026"/>
      <c r="L112" s="2026"/>
      <c r="M112" s="2026"/>
      <c r="N112" s="2044"/>
      <c r="O112" s="2026"/>
      <c r="P112" s="2026"/>
      <c r="Q112" s="2026"/>
      <c r="R112" s="2045"/>
      <c r="S112" s="2026"/>
      <c r="T112" s="1180"/>
      <c r="U112" s="1180"/>
      <c r="V112" s="1180"/>
      <c r="W112" s="1181"/>
      <c r="X112" s="1140"/>
      <c r="Y112" s="1140"/>
      <c r="Z112" s="1140"/>
      <c r="AA112" s="1140"/>
      <c r="AB112" s="1140"/>
      <c r="AC112" s="194"/>
      <c r="AD112" s="194"/>
      <c r="AE112" s="194"/>
      <c r="AF112" s="194"/>
      <c r="AG112" s="194"/>
      <c r="AH112" s="194"/>
      <c r="AI112" s="194"/>
      <c r="AJ112" s="194"/>
      <c r="AK112" s="194"/>
      <c r="AL112" s="194"/>
      <c r="AM112" s="194"/>
      <c r="AN112" s="194"/>
      <c r="AO112" s="194"/>
      <c r="AP112" s="194"/>
      <c r="AQ112" s="194"/>
    </row>
    <row r="113" spans="1:43" s="1933" customFormat="1" ht="17.25" hidden="1" customHeight="1">
      <c r="A113" s="246"/>
      <c r="C113" s="245"/>
      <c r="D113" s="2028"/>
      <c r="E113" s="2030"/>
      <c r="F113" s="2032"/>
      <c r="G113" s="2035"/>
      <c r="H113" s="2037"/>
      <c r="I113" s="2039"/>
      <c r="J113" s="2042"/>
      <c r="K113" s="2026"/>
      <c r="L113" s="2026"/>
      <c r="M113" s="2026"/>
      <c r="N113" s="2045"/>
      <c r="O113" s="2026"/>
      <c r="P113" s="1332"/>
      <c r="Q113" s="1180"/>
      <c r="R113" s="1180"/>
      <c r="S113" s="255"/>
      <c r="T113" s="255"/>
      <c r="U113" s="255"/>
      <c r="V113" s="255"/>
      <c r="W113" s="1181"/>
      <c r="X113" s="1140"/>
      <c r="Y113" s="1140"/>
      <c r="Z113" s="1140"/>
      <c r="AA113" s="1140"/>
      <c r="AB113" s="1140"/>
      <c r="AC113" s="194"/>
      <c r="AD113" s="194"/>
      <c r="AE113" s="194"/>
      <c r="AF113" s="194"/>
      <c r="AG113" s="194"/>
      <c r="AH113" s="194"/>
      <c r="AI113" s="194"/>
      <c r="AJ113" s="194"/>
      <c r="AK113" s="194"/>
      <c r="AL113" s="194"/>
      <c r="AM113" s="194"/>
      <c r="AN113" s="194"/>
      <c r="AO113" s="194"/>
      <c r="AP113" s="194"/>
      <c r="AQ113" s="194"/>
    </row>
    <row r="114" spans="1:43" s="1933" customFormat="1" ht="17.25" hidden="1" customHeight="1">
      <c r="A114" s="246"/>
      <c r="C114" s="245"/>
      <c r="D114" s="2028"/>
      <c r="E114" s="2030"/>
      <c r="F114" s="2032"/>
      <c r="G114" s="2035"/>
      <c r="H114" s="2037"/>
      <c r="I114" s="2039"/>
      <c r="J114" s="2042"/>
      <c r="K114" s="2026"/>
      <c r="L114" s="1180"/>
      <c r="M114" s="1180"/>
      <c r="N114" s="1180"/>
      <c r="O114" s="1180"/>
      <c r="P114" s="1180"/>
      <c r="Q114" s="1180"/>
      <c r="R114" s="1180"/>
      <c r="S114" s="255"/>
      <c r="T114" s="255"/>
      <c r="U114" s="255"/>
      <c r="V114" s="255"/>
      <c r="W114" s="1181"/>
      <c r="X114" s="1140"/>
      <c r="Y114" s="1140"/>
      <c r="Z114" s="1140"/>
      <c r="AA114" s="1140"/>
      <c r="AB114" s="1140"/>
      <c r="AC114" s="194"/>
      <c r="AD114" s="194"/>
      <c r="AE114" s="194"/>
      <c r="AF114" s="194"/>
      <c r="AG114" s="194"/>
      <c r="AH114" s="194"/>
      <c r="AI114" s="194"/>
      <c r="AJ114" s="194"/>
      <c r="AK114" s="194"/>
      <c r="AL114" s="194"/>
      <c r="AM114" s="194"/>
      <c r="AN114" s="194"/>
      <c r="AO114" s="194"/>
      <c r="AP114" s="194"/>
      <c r="AQ114" s="194"/>
    </row>
    <row r="115" spans="1:43" s="1933" customFormat="1" ht="17.25" hidden="1" customHeight="1">
      <c r="A115" s="246"/>
      <c r="C115" s="245"/>
      <c r="D115" s="2028"/>
      <c r="E115" s="2030"/>
      <c r="F115" s="2033"/>
      <c r="G115" s="2035"/>
      <c r="H115" s="1183"/>
      <c r="I115" s="1184"/>
      <c r="J115" s="1184"/>
      <c r="K115" s="1184"/>
      <c r="L115" s="1184"/>
      <c r="M115" s="1184"/>
      <c r="N115" s="1184"/>
      <c r="O115" s="1184"/>
      <c r="P115" s="1184"/>
      <c r="Q115" s="1184"/>
      <c r="R115" s="1184"/>
      <c r="S115" s="1185"/>
      <c r="T115" s="1185"/>
      <c r="U115" s="1185"/>
      <c r="V115" s="1185"/>
      <c r="W115" s="1186"/>
      <c r="X115" s="1140"/>
      <c r="Y115" s="1140"/>
      <c r="Z115" s="1140"/>
      <c r="AA115" s="1140"/>
      <c r="AB115" s="1140"/>
      <c r="AC115" s="194"/>
      <c r="AD115" s="194"/>
      <c r="AE115" s="194"/>
      <c r="AF115" s="194"/>
      <c r="AG115" s="194"/>
      <c r="AH115" s="194"/>
      <c r="AI115" s="194"/>
      <c r="AJ115" s="194"/>
      <c r="AK115" s="194"/>
      <c r="AL115" s="194"/>
      <c r="AM115" s="194"/>
      <c r="AN115" s="194"/>
      <c r="AO115" s="194"/>
      <c r="AP115" s="194"/>
      <c r="AQ115" s="194"/>
    </row>
    <row r="116" spans="1:43" s="1933" customFormat="1" ht="17.25" hidden="1" customHeight="1">
      <c r="A116" s="246"/>
      <c r="C116" s="131"/>
      <c r="D116" s="2027">
        <v>3</v>
      </c>
      <c r="E116" s="2029" t="s">
        <v>266</v>
      </c>
      <c r="F116" s="2031" t="s">
        <v>55</v>
      </c>
      <c r="G116" s="2034"/>
      <c r="H116" s="2036"/>
      <c r="I116" s="2038"/>
      <c r="J116" s="2040"/>
      <c r="K116" s="2025"/>
      <c r="L116" s="2025"/>
      <c r="M116" s="2025"/>
      <c r="N116" s="2043"/>
      <c r="O116" s="2025"/>
      <c r="P116" s="2025"/>
      <c r="Q116" s="2025"/>
      <c r="R116" s="2046"/>
      <c r="S116" s="2025"/>
      <c r="T116" s="1331"/>
      <c r="U116" s="1331"/>
      <c r="V116" s="1333"/>
      <c r="W116" s="1179"/>
      <c r="X116" s="1147"/>
      <c r="Y116" s="1147"/>
      <c r="Z116" s="1147"/>
      <c r="AA116" s="1147"/>
      <c r="AB116" s="1147"/>
      <c r="AC116" s="1226" t="s">
        <v>267</v>
      </c>
      <c r="AD116" s="1226" t="s">
        <v>268</v>
      </c>
      <c r="AE116" s="1226" t="s">
        <v>269</v>
      </c>
      <c r="AF116" s="1226" t="s">
        <v>270</v>
      </c>
      <c r="AG116" s="1226"/>
      <c r="AH116" s="1226" t="str">
        <f>IF($E$116=0,"",$E$116)</f>
        <v>Тариф на подключение (технологическое присоединение) к централизованной системе водоотведения</v>
      </c>
      <c r="AI116" s="1226" t="str">
        <f>IF($G$116=0,"",$G$116)</f>
        <v/>
      </c>
      <c r="AJ116" s="1226" t="str">
        <f>IF($J$116=0,"",$J$116)</f>
        <v/>
      </c>
      <c r="AK116" s="1226" t="str">
        <f>IF($K$116="нет","без дифференциации",IF($N$116=0,"",$N$116))</f>
        <v/>
      </c>
      <c r="AL116" s="1226" t="str">
        <f>IF($O$116="нет","без дифференциации",IF($R$116=0,"",$R$116))</f>
        <v/>
      </c>
      <c r="AM116" s="1226" t="str">
        <f>IF($S$116="нет","без дифференциации",IF($V$116=0,"",$V$116))</f>
        <v/>
      </c>
      <c r="AN116" s="1379">
        <f>$I$116</f>
        <v>0</v>
      </c>
      <c r="AO116" s="1226" t="str">
        <f>$I$116&amp;"."&amp;$M$116</f>
        <v>.</v>
      </c>
      <c r="AP116" s="194" t="str">
        <f>$I$116&amp;"."&amp;$M$116&amp;"."&amp;$Q$116</f>
        <v>..</v>
      </c>
      <c r="AQ116" s="194" t="str">
        <f>$I$116&amp;"."&amp;$M$116&amp;"."&amp;$Q$116&amp;"."&amp;$U$116</f>
        <v>...</v>
      </c>
    </row>
    <row r="117" spans="1:43" s="1933" customFormat="1" ht="17.25" hidden="1" customHeight="1">
      <c r="A117" s="246"/>
      <c r="C117" s="245"/>
      <c r="D117" s="2027"/>
      <c r="E117" s="2029"/>
      <c r="F117" s="2032"/>
      <c r="G117" s="2034"/>
      <c r="H117" s="2037"/>
      <c r="I117" s="2039"/>
      <c r="J117" s="2041"/>
      <c r="K117" s="2026"/>
      <c r="L117" s="2026"/>
      <c r="M117" s="2026"/>
      <c r="N117" s="2044"/>
      <c r="O117" s="2026"/>
      <c r="P117" s="2026"/>
      <c r="Q117" s="2026"/>
      <c r="R117" s="2045"/>
      <c r="S117" s="2026"/>
      <c r="T117" s="1180"/>
      <c r="U117" s="1180"/>
      <c r="V117" s="1180"/>
      <c r="W117" s="1181"/>
      <c r="X117" s="1140"/>
      <c r="Y117" s="1140"/>
      <c r="Z117" s="1140"/>
      <c r="AA117" s="1140"/>
      <c r="AB117" s="1140"/>
      <c r="AC117" s="194"/>
      <c r="AD117" s="194"/>
      <c r="AE117" s="194"/>
      <c r="AF117" s="194"/>
      <c r="AG117" s="194"/>
      <c r="AH117" s="194"/>
      <c r="AI117" s="194"/>
      <c r="AJ117" s="194"/>
      <c r="AK117" s="194"/>
      <c r="AL117" s="194"/>
      <c r="AM117" s="194"/>
      <c r="AN117" s="194"/>
      <c r="AO117" s="194"/>
      <c r="AP117" s="194"/>
      <c r="AQ117" s="194"/>
    </row>
    <row r="118" spans="1:43" s="1933" customFormat="1" ht="17.25" hidden="1" customHeight="1">
      <c r="A118" s="246"/>
      <c r="C118" s="245"/>
      <c r="D118" s="2028"/>
      <c r="E118" s="2030"/>
      <c r="F118" s="2032"/>
      <c r="G118" s="2035"/>
      <c r="H118" s="2037"/>
      <c r="I118" s="2039"/>
      <c r="J118" s="2042"/>
      <c r="K118" s="2026"/>
      <c r="L118" s="2026"/>
      <c r="M118" s="2026"/>
      <c r="N118" s="2045"/>
      <c r="O118" s="2026"/>
      <c r="P118" s="1332"/>
      <c r="Q118" s="1180"/>
      <c r="R118" s="1180"/>
      <c r="S118" s="255"/>
      <c r="T118" s="255"/>
      <c r="U118" s="255"/>
      <c r="V118" s="255"/>
      <c r="W118" s="1181"/>
      <c r="X118" s="1140"/>
      <c r="Y118" s="1140"/>
      <c r="Z118" s="1140"/>
      <c r="AA118" s="1140"/>
      <c r="AB118" s="1140"/>
      <c r="AC118" s="194"/>
      <c r="AD118" s="194"/>
      <c r="AE118" s="194"/>
      <c r="AF118" s="194"/>
      <c r="AG118" s="194"/>
      <c r="AH118" s="194"/>
      <c r="AI118" s="194"/>
      <c r="AJ118" s="194"/>
      <c r="AK118" s="194"/>
      <c r="AL118" s="194"/>
      <c r="AM118" s="194"/>
      <c r="AN118" s="194"/>
      <c r="AO118" s="194"/>
      <c r="AP118" s="194"/>
      <c r="AQ118" s="194"/>
    </row>
    <row r="119" spans="1:43" s="1933" customFormat="1" ht="17.25" hidden="1" customHeight="1">
      <c r="A119" s="246"/>
      <c r="C119" s="245"/>
      <c r="D119" s="2028"/>
      <c r="E119" s="2030"/>
      <c r="F119" s="2032"/>
      <c r="G119" s="2035"/>
      <c r="H119" s="2037"/>
      <c r="I119" s="2039"/>
      <c r="J119" s="2042"/>
      <c r="K119" s="2026"/>
      <c r="L119" s="1180"/>
      <c r="M119" s="1180"/>
      <c r="N119" s="1180"/>
      <c r="O119" s="1180"/>
      <c r="P119" s="1180"/>
      <c r="Q119" s="1180"/>
      <c r="R119" s="1180"/>
      <c r="S119" s="255"/>
      <c r="T119" s="255"/>
      <c r="U119" s="255"/>
      <c r="V119" s="255"/>
      <c r="W119" s="1181"/>
      <c r="X119" s="1140"/>
      <c r="Y119" s="1140"/>
      <c r="Z119" s="1140"/>
      <c r="AA119" s="1140"/>
      <c r="AB119" s="1140"/>
      <c r="AC119" s="194"/>
      <c r="AD119" s="194"/>
      <c r="AE119" s="194"/>
      <c r="AF119" s="194"/>
      <c r="AG119" s="194"/>
      <c r="AH119" s="194"/>
      <c r="AI119" s="194"/>
      <c r="AJ119" s="194"/>
      <c r="AK119" s="194"/>
      <c r="AL119" s="194"/>
      <c r="AM119" s="194"/>
      <c r="AN119" s="194"/>
      <c r="AO119" s="194"/>
      <c r="AP119" s="194"/>
      <c r="AQ119" s="194"/>
    </row>
    <row r="120" spans="1:43" s="1933" customFormat="1" ht="17.25" hidden="1" customHeight="1">
      <c r="A120" s="246"/>
      <c r="C120" s="245"/>
      <c r="D120" s="2028"/>
      <c r="E120" s="2030"/>
      <c r="F120" s="2033"/>
      <c r="G120" s="2035"/>
      <c r="H120" s="1183"/>
      <c r="I120" s="1184"/>
      <c r="J120" s="1184"/>
      <c r="K120" s="1184"/>
      <c r="L120" s="1184"/>
      <c r="M120" s="1184"/>
      <c r="N120" s="1184"/>
      <c r="O120" s="1184"/>
      <c r="P120" s="1184"/>
      <c r="Q120" s="1184"/>
      <c r="R120" s="1184"/>
      <c r="S120" s="1185"/>
      <c r="T120" s="1185"/>
      <c r="U120" s="1185"/>
      <c r="V120" s="1185"/>
      <c r="W120" s="1186"/>
      <c r="X120" s="1140"/>
      <c r="Y120" s="1140"/>
      <c r="Z120" s="1140"/>
      <c r="AA120" s="1140"/>
      <c r="AB120" s="1140"/>
      <c r="AC120" s="194"/>
      <c r="AD120" s="194"/>
      <c r="AE120" s="194"/>
      <c r="AF120" s="194"/>
      <c r="AG120" s="194"/>
      <c r="AH120" s="194"/>
      <c r="AI120" s="194"/>
      <c r="AJ120" s="194"/>
      <c r="AK120" s="194"/>
      <c r="AL120" s="194"/>
      <c r="AM120" s="194"/>
      <c r="AN120" s="194"/>
      <c r="AO120" s="194"/>
      <c r="AP120" s="194"/>
      <c r="AQ120" s="194"/>
    </row>
    <row r="121" spans="1:43" ht="11.25" hidden="1" customHeight="1"/>
    <row r="124" spans="1:43" ht="11.25" customHeight="1">
      <c r="E124" s="1232"/>
    </row>
    <row r="125" spans="1:43" ht="11.25" customHeight="1">
      <c r="E125" s="1232"/>
    </row>
    <row r="126" spans="1:43" ht="11.25" customHeight="1">
      <c r="E126" s="1232"/>
    </row>
    <row r="127" spans="1:43" ht="11.25" customHeight="1">
      <c r="E127" s="1232"/>
    </row>
    <row r="128" spans="1:43" ht="11.25" customHeight="1">
      <c r="E128" s="1232"/>
    </row>
    <row r="129" spans="5:5" ht="11.25" customHeight="1">
      <c r="E129" s="1232"/>
    </row>
    <row r="130" spans="5:5" ht="11.25" customHeight="1">
      <c r="E130" s="1232"/>
    </row>
  </sheetData>
  <sheetProtection formatColumns="0" formatRows="0" insertRows="0" deleteColumns="0" deleteRows="0" sort="0" autoFilter="0"/>
  <mergeCells count="331">
    <mergeCell ref="M84:M86"/>
    <mergeCell ref="N84:N86"/>
    <mergeCell ref="O84:O86"/>
    <mergeCell ref="P84:P85"/>
    <mergeCell ref="Q84:Q85"/>
    <mergeCell ref="R84:R85"/>
    <mergeCell ref="S84:S85"/>
    <mergeCell ref="D84:D88"/>
    <mergeCell ref="E84:E88"/>
    <mergeCell ref="F84:F88"/>
    <mergeCell ref="G84:G88"/>
    <mergeCell ref="H84:H87"/>
    <mergeCell ref="I84:I87"/>
    <mergeCell ref="J84:J87"/>
    <mergeCell ref="K84:K87"/>
    <mergeCell ref="L84:L86"/>
    <mergeCell ref="M79:M81"/>
    <mergeCell ref="N79:N81"/>
    <mergeCell ref="O79:O81"/>
    <mergeCell ref="P79:P80"/>
    <mergeCell ref="Q79:Q80"/>
    <mergeCell ref="R79:R80"/>
    <mergeCell ref="S79:S80"/>
    <mergeCell ref="D74:D78"/>
    <mergeCell ref="E74:E78"/>
    <mergeCell ref="M74:M76"/>
    <mergeCell ref="D79:D83"/>
    <mergeCell ref="E79:E83"/>
    <mergeCell ref="F79:F83"/>
    <mergeCell ref="G79:G83"/>
    <mergeCell ref="H79:H82"/>
    <mergeCell ref="I79:I82"/>
    <mergeCell ref="J79:J82"/>
    <mergeCell ref="K79:K82"/>
    <mergeCell ref="L79:L81"/>
    <mergeCell ref="F74:F78"/>
    <mergeCell ref="G74:G78"/>
    <mergeCell ref="H74:H77"/>
    <mergeCell ref="I74:I77"/>
    <mergeCell ref="J74:J77"/>
    <mergeCell ref="L74:L76"/>
    <mergeCell ref="Q69:Q70"/>
    <mergeCell ref="R69:R70"/>
    <mergeCell ref="S69:S70"/>
    <mergeCell ref="K69:K72"/>
    <mergeCell ref="K64:K67"/>
    <mergeCell ref="N69:N71"/>
    <mergeCell ref="O69:O71"/>
    <mergeCell ref="P69:P70"/>
    <mergeCell ref="S74:S75"/>
    <mergeCell ref="N74:N76"/>
    <mergeCell ref="O74:O76"/>
    <mergeCell ref="P74:P75"/>
    <mergeCell ref="Q74:Q75"/>
    <mergeCell ref="R74:R75"/>
    <mergeCell ref="L69:L71"/>
    <mergeCell ref="N64:N66"/>
    <mergeCell ref="O64:O66"/>
    <mergeCell ref="P64:P65"/>
    <mergeCell ref="Q64:Q65"/>
    <mergeCell ref="R64:R65"/>
    <mergeCell ref="S64:S65"/>
    <mergeCell ref="M69:M71"/>
    <mergeCell ref="W9:W10"/>
    <mergeCell ref="O9:R9"/>
    <mergeCell ref="K9:N9"/>
    <mergeCell ref="T11:U11"/>
    <mergeCell ref="S9:V9"/>
    <mergeCell ref="T10:U10"/>
    <mergeCell ref="D64:D68"/>
    <mergeCell ref="E64:E68"/>
    <mergeCell ref="D69:D73"/>
    <mergeCell ref="E69:E73"/>
    <mergeCell ref="F69:F73"/>
    <mergeCell ref="G69:G73"/>
    <mergeCell ref="H69:H72"/>
    <mergeCell ref="I69:I72"/>
    <mergeCell ref="J69:J72"/>
    <mergeCell ref="F64:F68"/>
    <mergeCell ref="G64:G68"/>
    <mergeCell ref="H64:H67"/>
    <mergeCell ref="I64:I67"/>
    <mergeCell ref="J64:J67"/>
    <mergeCell ref="K13:K16"/>
    <mergeCell ref="G18:G22"/>
    <mergeCell ref="K18:K21"/>
    <mergeCell ref="N23:N25"/>
    <mergeCell ref="D5:J5"/>
    <mergeCell ref="D9:D10"/>
    <mergeCell ref="D7:J7"/>
    <mergeCell ref="G9:G10"/>
    <mergeCell ref="H9:I10"/>
    <mergeCell ref="D6:J6"/>
    <mergeCell ref="D13:D17"/>
    <mergeCell ref="E13:E17"/>
    <mergeCell ref="G13:G17"/>
    <mergeCell ref="H13:H16"/>
    <mergeCell ref="J9:J10"/>
    <mergeCell ref="H11:I11"/>
    <mergeCell ref="E9:F9"/>
    <mergeCell ref="F13:F17"/>
    <mergeCell ref="I13:I16"/>
    <mergeCell ref="J13:J16"/>
    <mergeCell ref="L10:M10"/>
    <mergeCell ref="P10:Q10"/>
    <mergeCell ref="L11:M11"/>
    <mergeCell ref="P11:Q11"/>
    <mergeCell ref="K23:K26"/>
    <mergeCell ref="L23:L25"/>
    <mergeCell ref="P13:P14"/>
    <mergeCell ref="P23:P24"/>
    <mergeCell ref="Q23:Q24"/>
    <mergeCell ref="P18:P19"/>
    <mergeCell ref="O18:O20"/>
    <mergeCell ref="L13:L15"/>
    <mergeCell ref="M13:M15"/>
    <mergeCell ref="N13:N15"/>
    <mergeCell ref="O13:O15"/>
    <mergeCell ref="Q13:Q14"/>
    <mergeCell ref="D18:D22"/>
    <mergeCell ref="E18:E22"/>
    <mergeCell ref="F18:F22"/>
    <mergeCell ref="Q18:Q19"/>
    <mergeCell ref="R18:R19"/>
    <mergeCell ref="M23:M25"/>
    <mergeCell ref="R23:R24"/>
    <mergeCell ref="O23:O25"/>
    <mergeCell ref="H18:H21"/>
    <mergeCell ref="I18:I21"/>
    <mergeCell ref="J18:J21"/>
    <mergeCell ref="D23:D27"/>
    <mergeCell ref="E23:E27"/>
    <mergeCell ref="F23:F27"/>
    <mergeCell ref="H23:H26"/>
    <mergeCell ref="I23:I26"/>
    <mergeCell ref="J23:J26"/>
    <mergeCell ref="G23:G27"/>
    <mergeCell ref="L18:L20"/>
    <mergeCell ref="M18:M20"/>
    <mergeCell ref="N18:N20"/>
    <mergeCell ref="D48:D52"/>
    <mergeCell ref="E48:E52"/>
    <mergeCell ref="F48:F52"/>
    <mergeCell ref="H48:H51"/>
    <mergeCell ref="N38:N40"/>
    <mergeCell ref="G33:G37"/>
    <mergeCell ref="K33:K36"/>
    <mergeCell ref="G48:G52"/>
    <mergeCell ref="K48:K51"/>
    <mergeCell ref="N48:N50"/>
    <mergeCell ref="I48:I51"/>
    <mergeCell ref="J48:J51"/>
    <mergeCell ref="L48:L50"/>
    <mergeCell ref="M48:M50"/>
    <mergeCell ref="L38:L40"/>
    <mergeCell ref="M38:M40"/>
    <mergeCell ref="K38:K41"/>
    <mergeCell ref="D38:D42"/>
    <mergeCell ref="I38:I41"/>
    <mergeCell ref="J38:J41"/>
    <mergeCell ref="I33:I36"/>
    <mergeCell ref="J33:J36"/>
    <mergeCell ref="L33:L35"/>
    <mergeCell ref="M33:M35"/>
    <mergeCell ref="D33:D37"/>
    <mergeCell ref="Q28:Q29"/>
    <mergeCell ref="R28:R29"/>
    <mergeCell ref="D43:D47"/>
    <mergeCell ref="E43:E47"/>
    <mergeCell ref="F43:F47"/>
    <mergeCell ref="G43:G47"/>
    <mergeCell ref="H43:H46"/>
    <mergeCell ref="I43:I46"/>
    <mergeCell ref="J43:J46"/>
    <mergeCell ref="K43:K46"/>
    <mergeCell ref="L43:L45"/>
    <mergeCell ref="D28:D32"/>
    <mergeCell ref="E28:E32"/>
    <mergeCell ref="F28:F32"/>
    <mergeCell ref="H28:H31"/>
    <mergeCell ref="I28:I31"/>
    <mergeCell ref="N28:N30"/>
    <mergeCell ref="P38:P39"/>
    <mergeCell ref="O33:O35"/>
    <mergeCell ref="Q38:Q39"/>
    <mergeCell ref="R38:R39"/>
    <mergeCell ref="O38:O40"/>
    <mergeCell ref="J28:J31"/>
    <mergeCell ref="G28:G32"/>
    <mergeCell ref="K28:K31"/>
    <mergeCell ref="S28:S29"/>
    <mergeCell ref="S33:S34"/>
    <mergeCell ref="S38:S39"/>
    <mergeCell ref="O28:O30"/>
    <mergeCell ref="E33:E37"/>
    <mergeCell ref="F33:F37"/>
    <mergeCell ref="H33:H36"/>
    <mergeCell ref="L28:L30"/>
    <mergeCell ref="M28:M30"/>
    <mergeCell ref="P33:P34"/>
    <mergeCell ref="Q33:Q34"/>
    <mergeCell ref="R33:R34"/>
    <mergeCell ref="P28:P29"/>
    <mergeCell ref="S18:S19"/>
    <mergeCell ref="M90:M92"/>
    <mergeCell ref="N90:N92"/>
    <mergeCell ref="O90:O92"/>
    <mergeCell ref="P90:P91"/>
    <mergeCell ref="Q90:Q91"/>
    <mergeCell ref="R90:R91"/>
    <mergeCell ref="S90:S91"/>
    <mergeCell ref="O48:O50"/>
    <mergeCell ref="E62:W62"/>
    <mergeCell ref="E54:W54"/>
    <mergeCell ref="E55:W55"/>
    <mergeCell ref="E56:W56"/>
    <mergeCell ref="E57:W57"/>
    <mergeCell ref="E58:W58"/>
    <mergeCell ref="L64:L66"/>
    <mergeCell ref="M64:M66"/>
    <mergeCell ref="E60:W60"/>
    <mergeCell ref="E61:W61"/>
    <mergeCell ref="K74:K77"/>
    <mergeCell ref="E38:E42"/>
    <mergeCell ref="F38:F42"/>
    <mergeCell ref="H38:H41"/>
    <mergeCell ref="G38:G42"/>
    <mergeCell ref="R13:R14"/>
    <mergeCell ref="S13:S14"/>
    <mergeCell ref="M43:M45"/>
    <mergeCell ref="N43:N45"/>
    <mergeCell ref="O43:O45"/>
    <mergeCell ref="N33:N35"/>
    <mergeCell ref="D90:D94"/>
    <mergeCell ref="E90:E94"/>
    <mergeCell ref="F90:F94"/>
    <mergeCell ref="G90:G94"/>
    <mergeCell ref="H90:H93"/>
    <mergeCell ref="I90:I93"/>
    <mergeCell ref="J90:J93"/>
    <mergeCell ref="K90:K93"/>
    <mergeCell ref="L90:L92"/>
    <mergeCell ref="P48:P49"/>
    <mergeCell ref="Q48:Q49"/>
    <mergeCell ref="R48:R49"/>
    <mergeCell ref="S48:S49"/>
    <mergeCell ref="P43:P44"/>
    <mergeCell ref="Q43:Q44"/>
    <mergeCell ref="R43:R44"/>
    <mergeCell ref="S43:S44"/>
    <mergeCell ref="S23:S24"/>
    <mergeCell ref="P100:P101"/>
    <mergeCell ref="Q100:Q101"/>
    <mergeCell ref="R100:R101"/>
    <mergeCell ref="S100:S101"/>
    <mergeCell ref="D95:D99"/>
    <mergeCell ref="E95:E99"/>
    <mergeCell ref="F95:F99"/>
    <mergeCell ref="G95:G99"/>
    <mergeCell ref="H95:H98"/>
    <mergeCell ref="I95:I98"/>
    <mergeCell ref="J95:J98"/>
    <mergeCell ref="K95:K98"/>
    <mergeCell ref="L95:L97"/>
    <mergeCell ref="S106:S107"/>
    <mergeCell ref="D106:D110"/>
    <mergeCell ref="E106:E110"/>
    <mergeCell ref="F106:F110"/>
    <mergeCell ref="G106:G110"/>
    <mergeCell ref="M95:M97"/>
    <mergeCell ref="N95:N97"/>
    <mergeCell ref="O95:O97"/>
    <mergeCell ref="P95:P96"/>
    <mergeCell ref="Q95:Q96"/>
    <mergeCell ref="R95:R96"/>
    <mergeCell ref="S95:S96"/>
    <mergeCell ref="D100:D104"/>
    <mergeCell ref="E100:E104"/>
    <mergeCell ref="F100:F104"/>
    <mergeCell ref="G100:G104"/>
    <mergeCell ref="H100:H103"/>
    <mergeCell ref="I100:I103"/>
    <mergeCell ref="J100:J103"/>
    <mergeCell ref="K100:K103"/>
    <mergeCell ref="L100:L102"/>
    <mergeCell ref="M100:M102"/>
    <mergeCell ref="N100:N102"/>
    <mergeCell ref="O100:O102"/>
    <mergeCell ref="O106:O108"/>
    <mergeCell ref="M111:M113"/>
    <mergeCell ref="N111:N113"/>
    <mergeCell ref="O111:O113"/>
    <mergeCell ref="P106:P107"/>
    <mergeCell ref="Q106:Q107"/>
    <mergeCell ref="R106:R107"/>
    <mergeCell ref="P111:P112"/>
    <mergeCell ref="Q111:Q112"/>
    <mergeCell ref="R111:R112"/>
    <mergeCell ref="K111:K114"/>
    <mergeCell ref="L111:L113"/>
    <mergeCell ref="H106:H109"/>
    <mergeCell ref="I106:I109"/>
    <mergeCell ref="J106:J109"/>
    <mergeCell ref="K106:K109"/>
    <mergeCell ref="L106:L108"/>
    <mergeCell ref="M106:M108"/>
    <mergeCell ref="N106:N108"/>
    <mergeCell ref="S111:S112"/>
    <mergeCell ref="D116:D120"/>
    <mergeCell ref="E116:E120"/>
    <mergeCell ref="F116:F120"/>
    <mergeCell ref="G116:G120"/>
    <mergeCell ref="H116:H119"/>
    <mergeCell ref="I116:I119"/>
    <mergeCell ref="J116:J119"/>
    <mergeCell ref="K116:K119"/>
    <mergeCell ref="L116:L118"/>
    <mergeCell ref="M116:M118"/>
    <mergeCell ref="N116:N118"/>
    <mergeCell ref="O116:O118"/>
    <mergeCell ref="P116:P117"/>
    <mergeCell ref="Q116:Q117"/>
    <mergeCell ref="R116:R117"/>
    <mergeCell ref="S116:S117"/>
    <mergeCell ref="D111:D115"/>
    <mergeCell ref="E111:E115"/>
    <mergeCell ref="F111:F115"/>
    <mergeCell ref="G111:G115"/>
    <mergeCell ref="H111:H114"/>
    <mergeCell ref="I111:I114"/>
    <mergeCell ref="J111:J114"/>
  </mergeCells>
  <dataValidations count="4">
    <dataValidation allowBlank="1" showInputMessage="1" showErrorMessage="1" prompt="Выберите виды деятельности, выполнив двойной щелчок левой кнопки мыши по ячейке." sqref="G13:G52 G64:G88 G90:G104 G106:G120"/>
    <dataValidation type="list" allowBlank="1" showInputMessage="1" showErrorMessage="1" errorTitle="Ошибка" error="Выберите значение из списка" prompt="Территория действия тарифа выбирается из выпадающего списка. Доступные для выбора территории определяются на листе &quot;Территории&quot;. Для каждого вида тарифа должна указываться территория, содержащая только те МР/МО, где действует данный вид тарифа." sqref="N43:N45 N18:N20 N38:N40 N23:N25 N33:N35 N13:N15 N28:N30 N64:N66 N79:N81 N84:N86 N69:N71 N74:N76 N48:N50 N90:N92 N95:N97 N100:N102 N111:N113 N106:N108 N116:N118">
      <formula1>DESCRIPTION_TERRITORY</formula1>
    </dataValidation>
    <dataValidation type="textLength" operator="lessThanOrEqual" allowBlank="1" showInputMessage="1" showErrorMessage="1" errorTitle="Ошибка" error="Допускается ввод не более 900 символов!" sqref="J33:J34 J13:J14 J43:J44 R43:R44 V43:W43 J18:J19 J38:J39 J23:J24 R33:R34 R13:R14 R18:R19 R38:R39 R23:R24 V33:W33 V13:W13 V18:W18 V38:W38 V23:W23 J28:J29 R28:R29 V28:W28 J64:J65 R64:R65 V64:W64 J69:J70 R69:R70 V69:W69 J79:J80 R79:R80 V79:W79 J74:J75 R74:R75 V74:W74 J84:J85 R84:R85 V84:W84 J48:J49 R48:R49 V48:W48 J90:J91 R90:R91 V90:W90 J95:J96 R95:R96 V95:W95 J100:J101 R100:R101 V100:W100 J111:J112 R111:R112 V111:W111 J106:J107 R106:R107 V106:W106 J116:J117 R116:R117 V116:W116">
      <formula1>900</formula1>
    </dataValidation>
    <dataValidation allowBlank="1" showInputMessage="1" showErrorMessage="1" prompt="Для выбора выполните двойной щелчок левой клавиши мыши по соответствующей ячейке." sqref="K33:K34 K13:K14 K43:K44 O43:O44 S43:S44 K18:K19 K38:K39 K23:K24 O33:O34 O18:O19 O38:O39 O23:O24 S33:S34 S18:S19 S38:S39 S23:S24 F13:F52 O13:O14 S13:S14 K28:K29 O28:O29 S28:S29 K64:K65 O64:O65 S64:S65 K69:K70 O69:O70 S69:S70 K79:K80 O79:O80 S79:S80 K74:K75 O74:O75 K84:K85 O84:O85 S48:S49 S74:S75 S84:S85 K48:K49 O48:O49 F64:F88 O90:O91 S90:S91 O95:O96 S95:S96 S100:S101 K90:K91 K95:K96 K100:K101 O100:O101 F90:F104 K111:K112 O111:O112 K106:K107 O106:O107 S111:S112 F106:F120 S106:S107 K116:K117 O116:O117 S116:S117"/>
  </dataValidations>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39997558519241921"/>
  </sheetPr>
  <dimension ref="A1:AP57"/>
  <sheetViews>
    <sheetView showGridLines="0" topLeftCell="P23" workbookViewId="0"/>
  </sheetViews>
  <sheetFormatPr defaultColWidth="10.5703125" defaultRowHeight="14.25" customHeight="1"/>
  <cols>
    <col min="1" max="1" width="10.5703125" style="1742" hidden="1"/>
    <col min="2" max="2" width="11" style="1742" hidden="1" customWidth="1"/>
    <col min="3" max="3" width="10.5703125" style="1742" hidden="1"/>
    <col min="4" max="4" width="11.85546875" style="1742" hidden="1" customWidth="1"/>
    <col min="5" max="5" width="10" style="1742" hidden="1" customWidth="1"/>
    <col min="6" max="6" width="8.7109375" style="1742" hidden="1" customWidth="1"/>
    <col min="7" max="7" width="7.5703125" style="1742" hidden="1" customWidth="1"/>
    <col min="8" max="8" width="11.42578125" style="1742" hidden="1" customWidth="1"/>
    <col min="9" max="9" width="14.140625" style="1742" hidden="1" customWidth="1"/>
    <col min="10" max="10" width="9.85546875" style="1742" hidden="1" customWidth="1"/>
    <col min="11" max="11" width="14.7109375" style="1742" hidden="1" customWidth="1"/>
    <col min="12" max="12" width="19.140625" style="1741" hidden="1" customWidth="1"/>
    <col min="13" max="14" width="12.28515625" style="1683" hidden="1" customWidth="1"/>
    <col min="15" max="15" width="23.42578125" style="1683" hidden="1" customWidth="1"/>
    <col min="16" max="16" width="3.7109375" style="1720" customWidth="1"/>
    <col min="17" max="18" width="3.7109375" style="1674" customWidth="1"/>
    <col min="19" max="19" width="12.7109375" style="1713" customWidth="1"/>
    <col min="20" max="20" width="35.7109375" style="1829" customWidth="1"/>
    <col min="21" max="21" width="0.140625" style="1829" customWidth="1"/>
    <col min="22" max="24" width="24.7109375" style="1829" hidden="1" customWidth="1"/>
    <col min="25" max="25" width="11.7109375" style="1829" hidden="1" customWidth="1"/>
    <col min="26" max="26" width="3.7109375" style="1829" hidden="1" customWidth="1"/>
    <col min="27" max="27" width="11.7109375" style="1829" hidden="1" customWidth="1"/>
    <col min="28" max="28" width="8.5703125" style="1829" hidden="1" customWidth="1"/>
    <col min="29" max="31" width="24.7109375" style="1829" customWidth="1"/>
    <col min="32" max="32" width="11.7109375" style="1829" customWidth="1"/>
    <col min="33" max="33" width="3.7109375" style="1829" customWidth="1"/>
    <col min="34" max="34" width="11.7109375" style="1829" customWidth="1"/>
    <col min="35" max="35" width="8.5703125" style="1829" hidden="1" customWidth="1"/>
    <col min="36" max="36" width="4.7109375" style="1829" customWidth="1"/>
    <col min="37" max="37" width="115.7109375" style="1829" customWidth="1"/>
    <col min="38" max="39" width="10.5703125" style="1755"/>
    <col min="40" max="40" width="11.140625" style="1755" customWidth="1"/>
    <col min="41" max="42" width="10.5703125" style="1755"/>
  </cols>
  <sheetData>
    <row r="1" spans="1:42" ht="14.25" hidden="1" customHeight="1">
      <c r="X1" s="254"/>
      <c r="Y1" s="254"/>
      <c r="AE1" s="254"/>
      <c r="AF1" s="254"/>
    </row>
    <row r="2" spans="1:42" ht="23.25" hidden="1" customHeight="1">
      <c r="A2" s="1242"/>
      <c r="B2" s="1242"/>
      <c r="C2" s="1242"/>
      <c r="D2" s="1242"/>
      <c r="E2" s="2221">
        <v>1</v>
      </c>
      <c r="F2" s="1242"/>
      <c r="G2" s="1242"/>
      <c r="H2" s="1242"/>
      <c r="I2" s="1242"/>
      <c r="J2" s="1242"/>
      <c r="K2" s="1242"/>
      <c r="L2" s="1243"/>
      <c r="M2" s="1244"/>
      <c r="N2" s="1244"/>
      <c r="O2" s="1244"/>
      <c r="P2" s="285"/>
      <c r="Q2" s="284"/>
      <c r="R2" s="279"/>
      <c r="S2" s="1353" t="e">
        <f>INDEX(PT_DIFFERENTIATION_NUM_NTAR,MATCH(A2,PT_DIFFERENTIATION_NTAR_ID,0))</f>
        <v>#N/A</v>
      </c>
      <c r="T2" s="216" t="s">
        <v>124</v>
      </c>
      <c r="U2" s="218"/>
      <c r="V2" s="2215"/>
      <c r="W2" s="2216"/>
      <c r="X2" s="2216"/>
      <c r="Y2" s="2216"/>
      <c r="Z2" s="2216"/>
      <c r="AA2" s="2216"/>
      <c r="AB2" s="2217"/>
      <c r="AC2" s="2215" t="e">
        <f>INDEX(PT_DIFFERENTIATION_NTAR,MATCH(A2,PT_DIFFERENTIATION_NTAR_ID,0))</f>
        <v>#N/A</v>
      </c>
      <c r="AD2" s="2216"/>
      <c r="AE2" s="2216"/>
      <c r="AF2" s="2216"/>
      <c r="AG2" s="2216"/>
      <c r="AH2" s="2216"/>
      <c r="AI2" s="2216"/>
      <c r="AJ2" s="2217"/>
      <c r="AK2" s="1138"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2" s="428"/>
      <c r="AN2" s="428" t="str">
        <f t="shared" ref="AN2:AN13" si="0">IF(T2="","",T2)</f>
        <v>Наименование тарифа</v>
      </c>
      <c r="AO2" s="428"/>
      <c r="AP2" s="428"/>
    </row>
    <row r="3" spans="1:42" ht="23.25" hidden="1" customHeight="1">
      <c r="A3" s="1242"/>
      <c r="B3" s="1242"/>
      <c r="C3" s="1242"/>
      <c r="D3" s="1242"/>
      <c r="E3" s="2222"/>
      <c r="F3" s="2221">
        <v>1</v>
      </c>
      <c r="G3" s="1242"/>
      <c r="H3" s="1242"/>
      <c r="I3" s="1242"/>
      <c r="J3" s="1242"/>
      <c r="K3" s="1242"/>
      <c r="L3" s="1243"/>
      <c r="M3" s="1244"/>
      <c r="N3" s="1244"/>
      <c r="O3" s="1244"/>
      <c r="P3" s="1347"/>
      <c r="Q3" s="276"/>
      <c r="R3" s="277"/>
      <c r="S3" s="1353" t="e">
        <f>INDEX(PT_DIFFERENTIATION_NUM_TER,MATCH(B3,PT_DIFFERENTIATION_TER_ID,0))</f>
        <v>#N/A</v>
      </c>
      <c r="T3" s="228" t="s">
        <v>1463</v>
      </c>
      <c r="U3" s="218"/>
      <c r="V3" s="2215"/>
      <c r="W3" s="2216"/>
      <c r="X3" s="2216"/>
      <c r="Y3" s="2216"/>
      <c r="Z3" s="2216"/>
      <c r="AA3" s="2216"/>
      <c r="AB3" s="2217"/>
      <c r="AC3" s="2215" t="e">
        <f>INDEX(PT_DIFFERENTIATION_TER,MATCH(B3,PT_DIFFERENTIATION_TER_ID,0))</f>
        <v>#N/A</v>
      </c>
      <c r="AD3" s="2216"/>
      <c r="AE3" s="2216"/>
      <c r="AF3" s="2216"/>
      <c r="AG3" s="2216"/>
      <c r="AH3" s="2216"/>
      <c r="AI3" s="2216"/>
      <c r="AJ3" s="2217"/>
      <c r="AK3" s="1138" t="s">
        <v>1464</v>
      </c>
      <c r="AM3" s="428"/>
      <c r="AN3" s="428" t="str">
        <f t="shared" si="0"/>
        <v>Территория действия тарифа</v>
      </c>
      <c r="AO3" s="428"/>
      <c r="AP3" s="428"/>
    </row>
    <row r="4" spans="1:42" ht="23.25" hidden="1" customHeight="1">
      <c r="A4" s="1242"/>
      <c r="B4" s="1242"/>
      <c r="C4" s="1242"/>
      <c r="D4" s="1242"/>
      <c r="E4" s="2222"/>
      <c r="F4" s="2222"/>
      <c r="G4" s="2221">
        <v>1</v>
      </c>
      <c r="H4" s="1242"/>
      <c r="I4" s="1242"/>
      <c r="J4" s="1242"/>
      <c r="K4" s="1242"/>
      <c r="L4" s="1243"/>
      <c r="M4" s="1244"/>
      <c r="N4" s="1244"/>
      <c r="O4" s="1244"/>
      <c r="P4" s="278"/>
      <c r="Q4" s="276"/>
      <c r="R4" s="277"/>
      <c r="S4" s="1353" t="e">
        <f>INDEX(PT_DIFFERENTIATION_NUM_CS,MATCH(C4,PT_DIFFERENTIATION_CS_ID,0))</f>
        <v>#N/A</v>
      </c>
      <c r="T4" s="229" t="s">
        <v>2089</v>
      </c>
      <c r="U4" s="218"/>
      <c r="V4" s="2215"/>
      <c r="W4" s="2216"/>
      <c r="X4" s="2216"/>
      <c r="Y4" s="2216"/>
      <c r="Z4" s="2216"/>
      <c r="AA4" s="2216"/>
      <c r="AB4" s="2217"/>
      <c r="AC4" s="2215" t="e">
        <f>INDEX(PT_DIFFERENTIATION_CS,MATCH(C4,PT_DIFFERENTIATION_CS_ID,0))</f>
        <v>#N/A</v>
      </c>
      <c r="AD4" s="2216"/>
      <c r="AE4" s="2216"/>
      <c r="AF4" s="2216"/>
      <c r="AG4" s="2216"/>
      <c r="AH4" s="2216"/>
      <c r="AI4" s="2216"/>
      <c r="AJ4" s="2217"/>
      <c r="AK4" s="1138" t="s">
        <v>2090</v>
      </c>
      <c r="AM4" s="428"/>
      <c r="AN4" s="428" t="str">
        <f t="shared" si="0"/>
        <v>Наименование централизованной системы горячего водоснабжения</v>
      </c>
      <c r="AO4" s="428"/>
      <c r="AP4" s="428"/>
    </row>
    <row r="5" spans="1:42" ht="23.25" hidden="1" customHeight="1">
      <c r="A5" s="1242"/>
      <c r="B5" s="1242"/>
      <c r="C5" s="1242"/>
      <c r="D5" s="1242"/>
      <c r="E5" s="2222"/>
      <c r="F5" s="2222"/>
      <c r="G5" s="2222"/>
      <c r="H5" s="2222"/>
      <c r="I5" s="2223" t="e">
        <f>S4&amp;".1"</f>
        <v>#N/A</v>
      </c>
      <c r="J5" s="1242"/>
      <c r="K5" s="1242"/>
      <c r="L5" s="1243"/>
      <c r="P5" s="2143">
        <v>1</v>
      </c>
      <c r="Q5" s="1341"/>
      <c r="R5" s="280"/>
      <c r="S5" s="1353" t="e">
        <f>$I5</f>
        <v>#N/A</v>
      </c>
      <c r="T5" s="203" t="s">
        <v>1680</v>
      </c>
      <c r="U5" s="218"/>
      <c r="V5" s="2313"/>
      <c r="W5" s="2314"/>
      <c r="X5" s="2314"/>
      <c r="Y5" s="2314"/>
      <c r="Z5" s="2314"/>
      <c r="AA5" s="2314"/>
      <c r="AB5" s="2315"/>
      <c r="AC5" s="2316"/>
      <c r="AD5" s="2317"/>
      <c r="AE5" s="2317"/>
      <c r="AF5" s="2317"/>
      <c r="AG5" s="2317"/>
      <c r="AH5" s="2317"/>
      <c r="AI5" s="2317"/>
      <c r="AJ5" s="2318"/>
      <c r="AK5" s="1138" t="s">
        <v>1681</v>
      </c>
      <c r="AM5" s="428"/>
      <c r="AN5" s="428" t="str">
        <f t="shared" si="0"/>
        <v>Наименование признака дифференциации</v>
      </c>
      <c r="AO5" s="428"/>
      <c r="AP5" s="428"/>
    </row>
    <row r="6" spans="1:42" ht="23.25" hidden="1" customHeight="1">
      <c r="A6" s="1242"/>
      <c r="B6" s="1242"/>
      <c r="C6" s="1242"/>
      <c r="D6" s="1242"/>
      <c r="E6" s="2222"/>
      <c r="F6" s="2222"/>
      <c r="G6" s="2222"/>
      <c r="H6" s="2222"/>
      <c r="I6" s="2224"/>
      <c r="J6" s="2223" t="e">
        <f>I5&amp;".1"</f>
        <v>#N/A</v>
      </c>
      <c r="K6" s="1242"/>
      <c r="L6" s="1243" t="s">
        <v>1472</v>
      </c>
      <c r="P6" s="2143"/>
      <c r="Q6" s="2143">
        <v>1</v>
      </c>
      <c r="R6" s="281"/>
      <c r="S6" s="1353" t="e">
        <f>$J6</f>
        <v>#N/A</v>
      </c>
      <c r="T6" s="204" t="s">
        <v>1473</v>
      </c>
      <c r="U6" s="218"/>
      <c r="V6" s="2210"/>
      <c r="W6" s="2211"/>
      <c r="X6" s="2211"/>
      <c r="Y6" s="2211"/>
      <c r="Z6" s="2211"/>
      <c r="AA6" s="2211"/>
      <c r="AB6" s="2212"/>
      <c r="AC6" s="2210"/>
      <c r="AD6" s="2211"/>
      <c r="AE6" s="2211"/>
      <c r="AF6" s="2211"/>
      <c r="AG6" s="2211"/>
      <c r="AH6" s="2211"/>
      <c r="AI6" s="2211"/>
      <c r="AJ6" s="2212"/>
      <c r="AK6" s="1192" t="s">
        <v>1682</v>
      </c>
      <c r="AM6" s="428"/>
      <c r="AN6" s="428" t="str">
        <f t="shared" si="0"/>
        <v>Группа потребителей</v>
      </c>
      <c r="AO6" s="428"/>
      <c r="AP6" s="428"/>
    </row>
    <row r="7" spans="1:42" ht="23.25" hidden="1" customHeight="1">
      <c r="A7" s="1242"/>
      <c r="B7" s="1242"/>
      <c r="C7" s="1242"/>
      <c r="D7" s="1242"/>
      <c r="E7" s="2222"/>
      <c r="F7" s="2222"/>
      <c r="G7" s="2222"/>
      <c r="H7" s="2222"/>
      <c r="I7" s="2224"/>
      <c r="J7" s="2224"/>
      <c r="K7" s="2223" t="e">
        <f>J6&amp;".1"</f>
        <v>#N/A</v>
      </c>
      <c r="L7" s="1243"/>
      <c r="P7" s="2143"/>
      <c r="Q7" s="2143"/>
      <c r="R7" s="281">
        <v>1</v>
      </c>
      <c r="S7" s="1353" t="e">
        <f>$K7</f>
        <v>#N/A</v>
      </c>
      <c r="T7" s="1304"/>
      <c r="U7" s="218"/>
      <c r="V7" s="1664"/>
      <c r="W7" s="1664"/>
      <c r="X7" s="1666"/>
      <c r="Y7" s="2225"/>
      <c r="Z7" s="2017" t="s">
        <v>62</v>
      </c>
      <c r="AA7" s="2225"/>
      <c r="AB7" s="2017" t="s">
        <v>62</v>
      </c>
      <c r="AC7" s="1664"/>
      <c r="AD7" s="1664"/>
      <c r="AE7" s="1666"/>
      <c r="AF7" s="2225"/>
      <c r="AG7" s="2017" t="s">
        <v>62</v>
      </c>
      <c r="AH7" s="2227"/>
      <c r="AI7" s="2017" t="s">
        <v>62</v>
      </c>
      <c r="AJ7" s="1703"/>
      <c r="AK7" s="2319"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7" s="439" t="e">
        <f ca="1">STRCHECKDATE(V8:AJ8)</f>
        <v>#NAME?</v>
      </c>
      <c r="AM7" s="428"/>
      <c r="AN7" s="428" t="str">
        <f t="shared" si="0"/>
        <v/>
      </c>
      <c r="AO7" s="428"/>
      <c r="AP7" s="428"/>
    </row>
    <row r="8" spans="1:42" ht="0.75" hidden="1" customHeight="1">
      <c r="A8" s="1242"/>
      <c r="B8" s="1242"/>
      <c r="C8" s="1242"/>
      <c r="D8" s="1242"/>
      <c r="E8" s="2222"/>
      <c r="F8" s="2222"/>
      <c r="G8" s="2222"/>
      <c r="H8" s="2222"/>
      <c r="I8" s="2224"/>
      <c r="J8" s="2224"/>
      <c r="K8" s="2223"/>
      <c r="L8" s="1243"/>
      <c r="P8" s="2143"/>
      <c r="Q8" s="2143"/>
      <c r="R8" s="281"/>
      <c r="S8" s="1350"/>
      <c r="T8" s="218"/>
      <c r="U8" s="218"/>
      <c r="V8" s="1665"/>
      <c r="W8" s="1665"/>
      <c r="X8" s="1667" t="str">
        <f>Y7&amp;"-"&amp;AA7</f>
        <v>-</v>
      </c>
      <c r="Y8" s="2226"/>
      <c r="Z8" s="2017"/>
      <c r="AA8" s="2226"/>
      <c r="AB8" s="2017"/>
      <c r="AC8" s="1665"/>
      <c r="AD8" s="1665"/>
      <c r="AE8" s="1667" t="str">
        <f>AF7&amp;"-"&amp;AH7</f>
        <v>-</v>
      </c>
      <c r="AF8" s="2226"/>
      <c r="AG8" s="2017"/>
      <c r="AH8" s="2228"/>
      <c r="AI8" s="2017"/>
      <c r="AJ8" s="1704"/>
      <c r="AK8" s="2319"/>
      <c r="AM8" s="428"/>
      <c r="AN8" s="428" t="str">
        <f t="shared" si="0"/>
        <v/>
      </c>
      <c r="AO8" s="428"/>
      <c r="AP8" s="428"/>
    </row>
    <row r="9" spans="1:42" ht="21" hidden="1" customHeight="1">
      <c r="A9" s="1242"/>
      <c r="B9" s="1242"/>
      <c r="C9" s="1242"/>
      <c r="D9" s="1242"/>
      <c r="E9" s="2222"/>
      <c r="F9" s="2222"/>
      <c r="G9" s="2222"/>
      <c r="H9" s="2222"/>
      <c r="I9" s="2224"/>
      <c r="J9" s="2223"/>
      <c r="K9" s="1242"/>
      <c r="L9" s="1243"/>
      <c r="P9" s="2143"/>
      <c r="Q9" s="2143"/>
      <c r="R9" s="280"/>
      <c r="S9" s="1159"/>
      <c r="T9" s="205" t="s">
        <v>1683</v>
      </c>
      <c r="U9" s="294"/>
      <c r="V9" s="294"/>
      <c r="W9" s="294"/>
      <c r="X9" s="294"/>
      <c r="Y9" s="294"/>
      <c r="Z9" s="294"/>
      <c r="AA9" s="294"/>
      <c r="AB9" s="294"/>
      <c r="AC9" s="294"/>
      <c r="AD9" s="294"/>
      <c r="AE9" s="294"/>
      <c r="AF9" s="294"/>
      <c r="AG9" s="294"/>
      <c r="AH9" s="294"/>
      <c r="AI9" s="294"/>
      <c r="AJ9" s="294"/>
      <c r="AK9" s="1138" t="s">
        <v>1684</v>
      </c>
      <c r="AM9" s="428"/>
      <c r="AN9" s="428" t="str">
        <f t="shared" si="0"/>
        <v>Добавить значение признака дифференциации</v>
      </c>
      <c r="AO9" s="428"/>
      <c r="AP9" s="428"/>
    </row>
    <row r="10" spans="1:42" ht="21" hidden="1" customHeight="1">
      <c r="A10" s="1242"/>
      <c r="B10" s="1242"/>
      <c r="C10" s="1242"/>
      <c r="D10" s="1242"/>
      <c r="E10" s="2222"/>
      <c r="F10" s="2222"/>
      <c r="G10" s="2222"/>
      <c r="H10" s="2222"/>
      <c r="I10" s="2223"/>
      <c r="J10" s="1242"/>
      <c r="K10" s="1242"/>
      <c r="L10" s="1243"/>
      <c r="P10" s="2143"/>
      <c r="Q10" s="1341"/>
      <c r="R10" s="280"/>
      <c r="S10" s="1159"/>
      <c r="T10" s="291" t="s">
        <v>1478</v>
      </c>
      <c r="U10" s="294"/>
      <c r="V10" s="294"/>
      <c r="W10" s="294"/>
      <c r="X10" s="294"/>
      <c r="Y10" s="294"/>
      <c r="Z10" s="294"/>
      <c r="AA10" s="294"/>
      <c r="AB10" s="293"/>
      <c r="AC10" s="294"/>
      <c r="AD10" s="294"/>
      <c r="AE10" s="294"/>
      <c r="AF10" s="294"/>
      <c r="AG10" s="294"/>
      <c r="AH10" s="294"/>
      <c r="AI10" s="293"/>
      <c r="AJ10" s="294"/>
      <c r="AK10" s="1305"/>
      <c r="AM10" s="428"/>
      <c r="AN10" s="428" t="str">
        <f t="shared" si="0"/>
        <v>Добавить группу потребителей</v>
      </c>
      <c r="AO10" s="428"/>
      <c r="AP10" s="428"/>
    </row>
    <row r="11" spans="1:42" ht="21" hidden="1" customHeight="1">
      <c r="A11" s="1242"/>
      <c r="B11" s="1242"/>
      <c r="C11" s="1242"/>
      <c r="D11" s="1242"/>
      <c r="E11" s="2222"/>
      <c r="F11" s="2222"/>
      <c r="G11" s="2222"/>
      <c r="H11" s="2221"/>
      <c r="I11" s="1242"/>
      <c r="J11" s="1242"/>
      <c r="K11" s="1242"/>
      <c r="L11" s="1243"/>
      <c r="M11" s="1244"/>
      <c r="N11" s="1244"/>
      <c r="O11" s="464"/>
      <c r="P11" s="284"/>
      <c r="Q11" s="303"/>
      <c r="R11" s="279"/>
      <c r="S11" s="1159"/>
      <c r="T11" s="299" t="s">
        <v>1685</v>
      </c>
      <c r="U11" s="294"/>
      <c r="V11" s="294"/>
      <c r="W11" s="294"/>
      <c r="X11" s="294"/>
      <c r="Y11" s="294"/>
      <c r="Z11" s="294"/>
      <c r="AA11" s="294"/>
      <c r="AB11" s="293"/>
      <c r="AC11" s="294"/>
      <c r="AD11" s="294"/>
      <c r="AE11" s="294"/>
      <c r="AF11" s="294"/>
      <c r="AG11" s="294"/>
      <c r="AH11" s="294"/>
      <c r="AI11" s="293"/>
      <c r="AJ11" s="294"/>
      <c r="AK11" s="221"/>
      <c r="AM11" s="428"/>
      <c r="AN11" s="428" t="str">
        <f t="shared" si="0"/>
        <v>Добавить наименование признака дифференциации</v>
      </c>
      <c r="AO11" s="428"/>
      <c r="AP11" s="428"/>
    </row>
    <row r="12" spans="1:42" s="1755" customFormat="1" ht="0.75" hidden="1" customHeight="1">
      <c r="A12" s="1226"/>
      <c r="B12" s="1226"/>
      <c r="C12" s="1198"/>
      <c r="D12" s="1198"/>
      <c r="E12" s="2222"/>
      <c r="F12" s="2221"/>
      <c r="G12" s="1198"/>
      <c r="H12" s="1198"/>
      <c r="I12" s="1198"/>
      <c r="J12" s="1198"/>
      <c r="K12" s="1198"/>
      <c r="L12" s="1354"/>
      <c r="M12" s="1205"/>
      <c r="N12" s="1205"/>
      <c r="P12" s="1200"/>
      <c r="Q12" s="1201"/>
      <c r="R12" s="1200"/>
      <c r="S12" s="1206"/>
      <c r="T12" s="1209" t="s">
        <v>1439</v>
      </c>
      <c r="U12" s="1208"/>
      <c r="V12" s="1208"/>
      <c r="W12" s="1208"/>
      <c r="X12" s="1208"/>
      <c r="Y12" s="1208"/>
      <c r="Z12" s="1208"/>
      <c r="AA12" s="1208"/>
      <c r="AB12" s="1208"/>
      <c r="AC12" s="1208"/>
      <c r="AD12" s="1208"/>
      <c r="AE12" s="1208"/>
      <c r="AF12" s="1208"/>
      <c r="AG12" s="1208"/>
      <c r="AH12" s="1208"/>
      <c r="AI12" s="1208"/>
      <c r="AJ12" s="1208"/>
      <c r="AK12" s="1208"/>
      <c r="AM12" s="695"/>
      <c r="AN12" s="695" t="str">
        <f t="shared" si="0"/>
        <v>Добавить централизованную систему для дифференциации</v>
      </c>
      <c r="AO12" s="695"/>
      <c r="AP12" s="695"/>
    </row>
    <row r="13" spans="1:42" s="1755" customFormat="1" ht="0.75" hidden="1" customHeight="1">
      <c r="A13" s="1226"/>
      <c r="B13" s="1226"/>
      <c r="C13" s="1226"/>
      <c r="D13" s="1226"/>
      <c r="E13" s="2221"/>
      <c r="F13" s="1226"/>
      <c r="G13" s="1226"/>
      <c r="H13" s="1226"/>
      <c r="I13" s="1226"/>
      <c r="J13" s="1226"/>
      <c r="K13" s="1226"/>
      <c r="L13" s="1229"/>
      <c r="M13" s="1205"/>
      <c r="N13" s="1205"/>
      <c r="O13" s="446"/>
      <c r="P13" s="311"/>
      <c r="Q13" s="1227"/>
      <c r="R13" s="311"/>
      <c r="S13" s="1206"/>
      <c r="T13" s="1209" t="s">
        <v>1440</v>
      </c>
      <c r="U13" s="1208"/>
      <c r="V13" s="1208"/>
      <c r="W13" s="1208"/>
      <c r="X13" s="1208"/>
      <c r="Y13" s="1208"/>
      <c r="Z13" s="1208"/>
      <c r="AA13" s="1208"/>
      <c r="AB13" s="1208"/>
      <c r="AC13" s="1208"/>
      <c r="AD13" s="1208"/>
      <c r="AE13" s="1208"/>
      <c r="AF13" s="1208"/>
      <c r="AG13" s="1208"/>
      <c r="AH13" s="1208"/>
      <c r="AI13" s="1208"/>
      <c r="AJ13" s="1208"/>
      <c r="AK13" s="1208"/>
      <c r="AM13" s="428"/>
      <c r="AN13" s="428" t="str">
        <f t="shared" si="0"/>
        <v>Добавить территорию для дифференциации</v>
      </c>
      <c r="AO13" s="428"/>
      <c r="AP13" s="428"/>
    </row>
    <row r="14" spans="1:42" ht="14.25" hidden="1" customHeight="1">
      <c r="AB14" s="254"/>
      <c r="AI14" s="254"/>
    </row>
    <row r="15" spans="1:42" ht="14.25" hidden="1" customHeight="1">
      <c r="AC15" s="1668"/>
      <c r="AD15" s="1668"/>
      <c r="AE15" s="1669"/>
      <c r="AF15" s="2219"/>
      <c r="AG15" s="2218" t="s">
        <v>62</v>
      </c>
      <c r="AH15" s="2219"/>
      <c r="AI15" s="2218" t="s">
        <v>62</v>
      </c>
    </row>
    <row r="16" spans="1:42" ht="14.25" hidden="1" customHeight="1">
      <c r="AC16" s="1668"/>
      <c r="AD16" s="1668"/>
      <c r="AE16" s="1667" t="str">
        <f>AF15&amp;"-"&amp;AH15</f>
        <v>-</v>
      </c>
      <c r="AF16" s="2218"/>
      <c r="AG16" s="2218"/>
      <c r="AH16" s="2218"/>
      <c r="AI16" s="2218"/>
    </row>
    <row r="17" spans="1:42" ht="14.25" hidden="1" customHeight="1">
      <c r="AI17" s="254"/>
    </row>
    <row r="18" spans="1:42" s="1742" customFormat="1" ht="14.25" hidden="1" customHeight="1">
      <c r="L18" s="1338"/>
      <c r="M18" s="1241"/>
      <c r="N18" s="1241"/>
      <c r="O18" s="1246" t="s">
        <v>1480</v>
      </c>
      <c r="P18" s="1241"/>
      <c r="Q18" s="1250"/>
      <c r="R18" s="1250"/>
      <c r="S18" s="643"/>
      <c r="Y18" s="1246"/>
      <c r="AA18" s="1246"/>
      <c r="AB18" s="1245"/>
      <c r="AF18" s="1246"/>
      <c r="AH18" s="1246"/>
      <c r="AI18" s="1245"/>
      <c r="AL18" s="439"/>
      <c r="AM18" s="439"/>
      <c r="AN18" s="439"/>
      <c r="AO18" s="439"/>
      <c r="AP18" s="439"/>
    </row>
    <row r="19" spans="1:42" s="1742" customFormat="1" ht="14.25" hidden="1" customHeight="1">
      <c r="L19" s="1338"/>
      <c r="M19" s="1241"/>
      <c r="N19" s="1241"/>
      <c r="O19" s="1241"/>
      <c r="P19" s="1241"/>
      <c r="Q19" s="1250"/>
      <c r="R19" s="1250"/>
      <c r="S19" s="643"/>
      <c r="AB19" s="1245"/>
      <c r="AI19" s="1245"/>
      <c r="AL19" s="439"/>
      <c r="AM19" s="439"/>
      <c r="AN19" s="439"/>
      <c r="AO19" s="439"/>
      <c r="AP19" s="439"/>
    </row>
    <row r="20" spans="1:42" s="1742" customFormat="1" ht="12" hidden="1" customHeight="1">
      <c r="L20" s="1338"/>
      <c r="M20" s="1241"/>
      <c r="N20" s="1241"/>
      <c r="O20" s="1243" t="s">
        <v>1481</v>
      </c>
      <c r="P20" s="1241"/>
      <c r="Q20" s="1306"/>
      <c r="R20" s="1306"/>
      <c r="S20" s="643"/>
      <c r="T20" s="1034" t="s">
        <v>1482</v>
      </c>
      <c r="Z20" s="111" t="s">
        <v>1483</v>
      </c>
      <c r="AB20" s="111" t="s">
        <v>1484</v>
      </c>
      <c r="AC20" s="1034" t="s">
        <v>1482</v>
      </c>
      <c r="AG20" s="111" t="s">
        <v>1485</v>
      </c>
      <c r="AI20" s="111" t="s">
        <v>1484</v>
      </c>
    </row>
    <row r="21" spans="1:42" ht="14.25" hidden="1" customHeight="1">
      <c r="O21" s="1243"/>
    </row>
    <row r="22" spans="1:42" ht="14.25" hidden="1" customHeight="1">
      <c r="O22" s="1243"/>
    </row>
    <row r="23" spans="1:42" ht="14.25" customHeight="1">
      <c r="Q23" s="304"/>
      <c r="R23" s="304"/>
      <c r="S23" s="1156"/>
      <c r="T23" s="289"/>
      <c r="U23" s="289"/>
      <c r="V23" s="437"/>
      <c r="W23" s="437"/>
      <c r="X23" s="437"/>
      <c r="Y23" s="437"/>
      <c r="Z23" s="437"/>
      <c r="AA23" s="437"/>
      <c r="AB23" s="437"/>
      <c r="AC23" s="437"/>
      <c r="AD23" s="437"/>
      <c r="AE23" s="437"/>
      <c r="AF23" s="437"/>
      <c r="AG23" s="437"/>
      <c r="AH23" s="437"/>
      <c r="AI23" s="437"/>
    </row>
    <row r="24" spans="1:42" ht="32.25" customHeight="1">
      <c r="Q24" s="304"/>
      <c r="R24" s="304"/>
      <c r="S24" s="2065" t="str">
        <f>IF(TEMPLATE_GROUP="P",PT_P_FORM_HOTVSNA_4_NAME_FORM,PT_R_FORM_HOTVSNA_16_NAME_FORM)</f>
        <v>Форма 16. Информация о предложении расчетной величины тарифов организации горячего водоснабжения об установлении тарифов в сфере горячего водоснабжения на очередной период регулирования &lt;1&gt;</v>
      </c>
      <c r="T24" s="2065"/>
      <c r="U24" s="2065"/>
      <c r="V24" s="2065"/>
      <c r="W24" s="2065"/>
      <c r="X24" s="2065"/>
      <c r="Y24" s="2065"/>
      <c r="Z24" s="2065"/>
      <c r="AA24" s="2065"/>
      <c r="AB24" s="2065"/>
      <c r="AC24" s="2065"/>
      <c r="AD24" s="2065"/>
      <c r="AE24" s="2065"/>
      <c r="AF24" s="2065"/>
      <c r="AG24" s="2065"/>
      <c r="AH24" s="2065"/>
      <c r="AI24" s="1114"/>
    </row>
    <row r="25" spans="1:42" ht="14.25" customHeight="1">
      <c r="Q25" s="304"/>
      <c r="R25" s="304"/>
      <c r="S25" s="2088" t="str">
        <f>IF(org=0,"Не определено",org)</f>
        <v>МУП г. Астрахани "Коммунэнерго"</v>
      </c>
      <c r="T25" s="2088"/>
      <c r="U25" s="2088"/>
      <c r="V25" s="2088"/>
      <c r="W25" s="2088"/>
      <c r="X25" s="2088"/>
      <c r="Y25" s="2088"/>
      <c r="Z25" s="2088"/>
      <c r="AA25" s="2088"/>
      <c r="AB25" s="2088"/>
      <c r="AC25" s="2088"/>
      <c r="AD25" s="2088"/>
      <c r="AE25" s="2088"/>
      <c r="AF25" s="2088"/>
      <c r="AG25" s="2088"/>
      <c r="AH25" s="2088"/>
      <c r="AI25" s="1114"/>
    </row>
    <row r="26" spans="1:42" ht="14.25" hidden="1" customHeight="1">
      <c r="Q26" s="304"/>
      <c r="R26" s="304"/>
      <c r="S26" s="1156"/>
      <c r="T26" s="289"/>
      <c r="U26" s="289"/>
      <c r="V26" s="248"/>
      <c r="W26" s="248"/>
      <c r="X26" s="248"/>
      <c r="Y26" s="248"/>
      <c r="Z26" s="248"/>
      <c r="AA26" s="248"/>
      <c r="AB26" s="248"/>
      <c r="AC26" s="248"/>
      <c r="AD26" s="248"/>
      <c r="AE26" s="248"/>
      <c r="AF26" s="248"/>
      <c r="AG26" s="248"/>
      <c r="AH26" s="248"/>
      <c r="AI26" s="248"/>
      <c r="AJ26" s="437"/>
    </row>
    <row r="27" spans="1:42" s="1933" customFormat="1" ht="25.5" hidden="1" customHeight="1">
      <c r="A27" s="1247"/>
      <c r="B27" s="1247"/>
      <c r="C27" s="1247"/>
      <c r="D27" s="1247"/>
      <c r="E27" s="1247"/>
      <c r="F27" s="1247"/>
      <c r="G27" s="1247"/>
      <c r="H27" s="1247"/>
      <c r="I27" s="1247"/>
      <c r="J27" s="1247"/>
      <c r="K27" s="1247"/>
      <c r="L27" s="1248"/>
      <c r="M27" s="1247"/>
      <c r="N27" s="1247"/>
      <c r="O27" s="1247"/>
      <c r="S27" s="2213" t="s">
        <v>38</v>
      </c>
      <c r="T27" s="2213"/>
      <c r="U27" s="1251"/>
      <c r="V27" s="2214" t="str">
        <f>IF(TITLE_NAME_OR_PR_CHANGE="",IF(TITLE_NAME_OR_PR="","",TITLE_NAME_OR_PR),TITLE_NAME_OR_PR_CHANGE)</f>
        <v/>
      </c>
      <c r="W27" s="2214"/>
      <c r="X27" s="2214"/>
      <c r="Y27" s="2214"/>
      <c r="Z27" s="2214"/>
      <c r="AA27" s="2214"/>
      <c r="AB27" s="253"/>
      <c r="AC27" s="2214" t="str">
        <f>IF(TITLE_NAME_OR_PR_CHANGE="",IF(TITLE_NAME_OR_PR="","",TITLE_NAME_OR_PR),TITLE_NAME_OR_PR_CHANGE)</f>
        <v/>
      </c>
      <c r="AD27" s="2214"/>
      <c r="AE27" s="2214"/>
      <c r="AF27" s="2214"/>
      <c r="AG27" s="2214"/>
      <c r="AH27" s="2214"/>
      <c r="AI27" s="253"/>
      <c r="AJ27" s="253"/>
      <c r="AK27" s="199"/>
      <c r="AL27" s="295"/>
      <c r="AM27" s="295"/>
      <c r="AN27" s="295"/>
      <c r="AO27" s="295"/>
      <c r="AP27" s="295"/>
    </row>
    <row r="28" spans="1:42" s="1933" customFormat="1" ht="18.75" hidden="1" customHeight="1">
      <c r="A28" s="1247"/>
      <c r="B28" s="1247"/>
      <c r="C28" s="1247"/>
      <c r="D28" s="1247"/>
      <c r="E28" s="1247"/>
      <c r="F28" s="1247"/>
      <c r="G28" s="1247"/>
      <c r="H28" s="1247"/>
      <c r="I28" s="1247"/>
      <c r="J28" s="1247"/>
      <c r="K28" s="1247"/>
      <c r="L28" s="1248"/>
      <c r="M28" s="1247"/>
      <c r="N28" s="1247"/>
      <c r="O28" s="1247"/>
      <c r="S28" s="2213" t="s">
        <v>1486</v>
      </c>
      <c r="T28" s="2213"/>
      <c r="U28" s="1251"/>
      <c r="V28" s="2214" t="str">
        <f>IF(TITLE_DATE_CHANGE_PERIOD="",IF(TITLE_DATE_PR="","",TITLE_DATE_PR),TITLE_DATE_CHANGE_PERIOD)</f>
        <v/>
      </c>
      <c r="W28" s="2214"/>
      <c r="X28" s="2214"/>
      <c r="Y28" s="2214"/>
      <c r="Z28" s="2214"/>
      <c r="AA28" s="2214"/>
      <c r="AB28" s="253"/>
      <c r="AC28" s="2214" t="str">
        <f>IF(TITLE_DATE_CHANGE_PERIOD="",IF(TITLE_DATE_PR="","",TITLE_DATE_PR),TITLE_DATE_CHANGE_PERIOD)</f>
        <v/>
      </c>
      <c r="AD28" s="2214"/>
      <c r="AE28" s="2214"/>
      <c r="AF28" s="2214"/>
      <c r="AG28" s="2214"/>
      <c r="AH28" s="2214"/>
      <c r="AI28" s="253"/>
      <c r="AJ28" s="253"/>
      <c r="AK28" s="199"/>
      <c r="AL28" s="295"/>
      <c r="AM28" s="295"/>
      <c r="AN28" s="295"/>
      <c r="AO28" s="295"/>
      <c r="AP28" s="295"/>
    </row>
    <row r="29" spans="1:42" s="1933" customFormat="1" ht="18.75" hidden="1" customHeight="1">
      <c r="A29" s="1247"/>
      <c r="B29" s="1247"/>
      <c r="C29" s="1247"/>
      <c r="D29" s="1247"/>
      <c r="E29" s="1247"/>
      <c r="F29" s="1247"/>
      <c r="G29" s="1247"/>
      <c r="H29" s="1247"/>
      <c r="I29" s="1247"/>
      <c r="J29" s="1247"/>
      <c r="K29" s="1247"/>
      <c r="L29" s="1248"/>
      <c r="M29" s="1247"/>
      <c r="N29" s="1247"/>
      <c r="O29" s="1247"/>
      <c r="S29" s="2213" t="s">
        <v>1487</v>
      </c>
      <c r="T29" s="2213"/>
      <c r="U29" s="1251"/>
      <c r="V29" s="2214" t="str">
        <f>IF(TITLE_NUMBER_PR_CHANGE="",IF(TITLE_NUMBER_PR="","",TITLE_NUMBER_PR),TITLE_NUMBER_PR_CHANGE)</f>
        <v/>
      </c>
      <c r="W29" s="2214"/>
      <c r="X29" s="2214"/>
      <c r="Y29" s="2214"/>
      <c r="Z29" s="2214"/>
      <c r="AA29" s="2214"/>
      <c r="AB29" s="253"/>
      <c r="AC29" s="2214" t="str">
        <f>IF(TITLE_NUMBER_PR_CHANGE="",IF(TITLE_NUMBER_PR="","",TITLE_NUMBER_PR),TITLE_NUMBER_PR_CHANGE)</f>
        <v/>
      </c>
      <c r="AD29" s="2214"/>
      <c r="AE29" s="2214"/>
      <c r="AF29" s="2214"/>
      <c r="AG29" s="2214"/>
      <c r="AH29" s="2214"/>
      <c r="AI29" s="253"/>
      <c r="AJ29" s="253"/>
      <c r="AK29" s="199"/>
      <c r="AL29" s="295"/>
      <c r="AM29" s="295"/>
      <c r="AN29" s="295"/>
      <c r="AO29" s="295"/>
      <c r="AP29" s="295"/>
    </row>
    <row r="30" spans="1:42" s="1933" customFormat="1" ht="18.75" hidden="1" customHeight="1">
      <c r="A30" s="1247"/>
      <c r="B30" s="1247"/>
      <c r="C30" s="1247"/>
      <c r="D30" s="1247"/>
      <c r="E30" s="1247"/>
      <c r="F30" s="1247"/>
      <c r="G30" s="1247"/>
      <c r="H30" s="1247"/>
      <c r="I30" s="1247"/>
      <c r="J30" s="1247"/>
      <c r="K30" s="1247"/>
      <c r="L30" s="1248"/>
      <c r="M30" s="1247"/>
      <c r="N30" s="1247"/>
      <c r="O30" s="1247"/>
      <c r="S30" s="2213" t="s">
        <v>39</v>
      </c>
      <c r="T30" s="2213"/>
      <c r="U30" s="1251"/>
      <c r="V30" s="2214" t="str">
        <f>IF(TITLE_IST_PUB_CHANGE="",IF(TITLE_IST_PUB="","",TITLE_IST_PUB),TITLE_IST_PUB_CHANGE)</f>
        <v/>
      </c>
      <c r="W30" s="2214"/>
      <c r="X30" s="2214"/>
      <c r="Y30" s="2214"/>
      <c r="Z30" s="2214"/>
      <c r="AA30" s="2214"/>
      <c r="AB30" s="253"/>
      <c r="AC30" s="2214" t="str">
        <f>IF(TITLE_IST_PUB_CHANGE="",IF(TITLE_IST_PUB="","",TITLE_IST_PUB),TITLE_IST_PUB_CHANGE)</f>
        <v/>
      </c>
      <c r="AD30" s="2214"/>
      <c r="AE30" s="2214"/>
      <c r="AF30" s="2214"/>
      <c r="AG30" s="2214"/>
      <c r="AH30" s="2214"/>
      <c r="AI30" s="253"/>
      <c r="AJ30" s="253"/>
      <c r="AK30" s="199"/>
      <c r="AL30" s="295"/>
      <c r="AM30" s="295"/>
      <c r="AN30" s="295"/>
      <c r="AO30" s="295"/>
      <c r="AP30" s="295"/>
    </row>
    <row r="31" spans="1:42" ht="14.25" hidden="1" customHeight="1">
      <c r="Q31" s="304"/>
      <c r="R31" s="304"/>
      <c r="S31" s="1156"/>
      <c r="T31" s="289"/>
      <c r="U31" s="289"/>
      <c r="V31" s="248"/>
      <c r="W31" s="248"/>
      <c r="X31" s="248"/>
      <c r="Y31" s="248"/>
      <c r="Z31" s="248"/>
      <c r="AA31" s="248"/>
      <c r="AB31" s="248"/>
      <c r="AC31" s="248"/>
      <c r="AD31" s="248"/>
      <c r="AE31" s="248"/>
      <c r="AF31" s="248"/>
      <c r="AG31" s="248"/>
      <c r="AH31" s="248"/>
      <c r="AI31" s="248"/>
      <c r="AJ31" s="437"/>
    </row>
    <row r="32" spans="1:42" s="1933" customFormat="1" ht="18.75" hidden="1" customHeight="1">
      <c r="A32" s="1247"/>
      <c r="B32" s="1247"/>
      <c r="C32" s="1247"/>
      <c r="D32" s="1247"/>
      <c r="E32" s="1247"/>
      <c r="F32" s="1247"/>
      <c r="G32" s="1247"/>
      <c r="H32" s="1247"/>
      <c r="I32" s="1247"/>
      <c r="J32" s="1247"/>
      <c r="K32" s="1247"/>
      <c r="L32" s="1248"/>
      <c r="M32" s="1247"/>
      <c r="N32" s="1247"/>
      <c r="O32" s="1247"/>
      <c r="S32" s="2213" t="s">
        <v>1488</v>
      </c>
      <c r="T32" s="2213"/>
      <c r="U32" s="1251"/>
      <c r="V32" s="2214" t="str">
        <f>IF(TITLE_DATE_CHANGE_PERIOD="",IF(TITLE_DATE_PR="","",TITLE_DATE_PR),TITLE_DATE_CHANGE_PERIOD)</f>
        <v/>
      </c>
      <c r="W32" s="2214"/>
      <c r="X32" s="2214"/>
      <c r="Y32" s="2214"/>
      <c r="Z32" s="2214"/>
      <c r="AA32" s="2214"/>
      <c r="AB32" s="253"/>
      <c r="AC32" s="2214" t="str">
        <f>IF(TITLE_DATE_CHANGE_PERIOD="",IF(TITLE_DATE_PR="","",TITLE_DATE_PR),TITLE_DATE_CHANGE_PERIOD)</f>
        <v/>
      </c>
      <c r="AD32" s="2214"/>
      <c r="AE32" s="2214"/>
      <c r="AF32" s="2214"/>
      <c r="AG32" s="2214"/>
      <c r="AH32" s="2214"/>
      <c r="AI32" s="253"/>
      <c r="AJ32" s="253"/>
      <c r="AK32" s="199"/>
      <c r="AL32" s="295"/>
      <c r="AM32" s="295"/>
      <c r="AN32" s="295"/>
      <c r="AO32" s="295"/>
      <c r="AP32" s="295"/>
    </row>
    <row r="33" spans="1:42" s="1933" customFormat="1" ht="18.75" hidden="1" customHeight="1">
      <c r="A33" s="1247"/>
      <c r="B33" s="1247"/>
      <c r="C33" s="1247"/>
      <c r="D33" s="1247"/>
      <c r="E33" s="1247"/>
      <c r="F33" s="1247"/>
      <c r="G33" s="1247"/>
      <c r="H33" s="1247"/>
      <c r="I33" s="1247"/>
      <c r="J33" s="1247"/>
      <c r="K33" s="1247"/>
      <c r="L33" s="1248"/>
      <c r="M33" s="1247"/>
      <c r="N33" s="1247"/>
      <c r="O33" s="1247"/>
      <c r="S33" s="2213" t="s">
        <v>1489</v>
      </c>
      <c r="T33" s="2213"/>
      <c r="U33" s="1251"/>
      <c r="V33" s="2214" t="str">
        <f>IF(TITLE_NUMBER_PR_CHANGE="",IF(TITLE_NUMBER_PR="","",TITLE_NUMBER_PR),TITLE_NUMBER_PR_CHANGE)</f>
        <v/>
      </c>
      <c r="W33" s="2214"/>
      <c r="X33" s="2214"/>
      <c r="Y33" s="2214"/>
      <c r="Z33" s="2214"/>
      <c r="AA33" s="2214"/>
      <c r="AB33" s="253"/>
      <c r="AC33" s="2214" t="str">
        <f>IF(TITLE_NUMBER_PR_CHANGE="",IF(TITLE_NUMBER_PR="","",TITLE_NUMBER_PR),TITLE_NUMBER_PR_CHANGE)</f>
        <v/>
      </c>
      <c r="AD33" s="2214"/>
      <c r="AE33" s="2214"/>
      <c r="AF33" s="2214"/>
      <c r="AG33" s="2214"/>
      <c r="AH33" s="2214"/>
      <c r="AI33" s="253"/>
      <c r="AJ33" s="253"/>
      <c r="AK33" s="199"/>
      <c r="AL33" s="295"/>
      <c r="AM33" s="295"/>
      <c r="AN33" s="295"/>
      <c r="AO33" s="295"/>
      <c r="AP33" s="295"/>
    </row>
    <row r="34" spans="1:42" s="1933" customFormat="1" ht="0.75" customHeight="1">
      <c r="A34" s="1247"/>
      <c r="B34" s="1247"/>
      <c r="C34" s="1247"/>
      <c r="D34" s="1247"/>
      <c r="E34" s="1247"/>
      <c r="F34" s="1247"/>
      <c r="G34" s="1247"/>
      <c r="H34" s="1247"/>
      <c r="I34" s="1247"/>
      <c r="J34" s="1247"/>
      <c r="K34" s="1247"/>
      <c r="L34" s="1248"/>
      <c r="M34" s="1247"/>
      <c r="N34" s="1247"/>
      <c r="O34" s="1247"/>
      <c r="S34" s="250"/>
      <c r="T34" s="250"/>
      <c r="U34" s="1348"/>
      <c r="V34" s="253"/>
      <c r="W34" s="253"/>
      <c r="X34" s="253"/>
      <c r="Y34" s="253"/>
      <c r="Z34" s="253"/>
      <c r="AA34" s="253"/>
      <c r="AB34" s="197" t="s">
        <v>1490</v>
      </c>
      <c r="AC34" s="253"/>
      <c r="AD34" s="253"/>
      <c r="AE34" s="253"/>
      <c r="AF34" s="253"/>
      <c r="AG34" s="253"/>
      <c r="AH34" s="253"/>
      <c r="AI34" s="197" t="s">
        <v>1490</v>
      </c>
      <c r="AL34" s="295"/>
      <c r="AM34" s="295"/>
      <c r="AN34" s="295"/>
      <c r="AO34" s="295"/>
      <c r="AP34" s="295"/>
    </row>
    <row r="35" spans="1:42" ht="14.25" customHeight="1">
      <c r="Q35" s="304"/>
      <c r="R35" s="304"/>
      <c r="S35" s="1156"/>
      <c r="T35" s="289"/>
      <c r="U35" s="1115"/>
      <c r="V35" s="2232"/>
      <c r="W35" s="2232"/>
      <c r="X35" s="2232"/>
      <c r="Y35" s="2232"/>
      <c r="Z35" s="2232"/>
      <c r="AA35" s="2232"/>
      <c r="AB35" s="2232"/>
      <c r="AC35" s="2232"/>
      <c r="AD35" s="2232"/>
      <c r="AE35" s="2232"/>
      <c r="AF35" s="2232"/>
      <c r="AG35" s="2232"/>
      <c r="AH35" s="2232"/>
      <c r="AI35" s="2232"/>
    </row>
    <row r="36" spans="1:42" ht="14.25" customHeight="1">
      <c r="Q36" s="304"/>
      <c r="R36" s="304"/>
      <c r="S36" s="2007" t="s">
        <v>292</v>
      </c>
      <c r="T36" s="2007"/>
      <c r="U36" s="2007"/>
      <c r="V36" s="2007"/>
      <c r="W36" s="2007"/>
      <c r="X36" s="2007"/>
      <c r="Y36" s="2007"/>
      <c r="Z36" s="2007"/>
      <c r="AA36" s="2007"/>
      <c r="AB36" s="2007"/>
      <c r="AC36" s="2007"/>
      <c r="AD36" s="2007"/>
      <c r="AE36" s="2007"/>
      <c r="AF36" s="2007"/>
      <c r="AG36" s="2007"/>
      <c r="AH36" s="2007"/>
      <c r="AI36" s="2007"/>
      <c r="AJ36" s="2007"/>
      <c r="AK36" s="2007" t="s">
        <v>293</v>
      </c>
    </row>
    <row r="37" spans="1:42" ht="14.25" customHeight="1">
      <c r="Q37" s="304"/>
      <c r="R37" s="304"/>
      <c r="S37" s="2233" t="s">
        <v>87</v>
      </c>
      <c r="T37" s="2097" t="s">
        <v>1491</v>
      </c>
      <c r="U37" s="219"/>
      <c r="V37" s="2234" t="s">
        <v>1492</v>
      </c>
      <c r="W37" s="2235"/>
      <c r="X37" s="2235"/>
      <c r="Y37" s="2235"/>
      <c r="Z37" s="2235"/>
      <c r="AA37" s="2236"/>
      <c r="AB37" s="2237" t="s">
        <v>1493</v>
      </c>
      <c r="AC37" s="2234" t="s">
        <v>1492</v>
      </c>
      <c r="AD37" s="2235"/>
      <c r="AE37" s="2235"/>
      <c r="AF37" s="2235"/>
      <c r="AG37" s="2235"/>
      <c r="AH37" s="2236"/>
      <c r="AI37" s="2237" t="s">
        <v>1494</v>
      </c>
      <c r="AJ37" s="2240" t="s">
        <v>1495</v>
      </c>
      <c r="AK37" s="2007"/>
    </row>
    <row r="38" spans="1:42" ht="33.75" customHeight="1">
      <c r="Q38" s="304"/>
      <c r="R38" s="304"/>
      <c r="S38" s="2233"/>
      <c r="T38" s="2097"/>
      <c r="U38" s="924"/>
      <c r="V38" s="1343" t="s">
        <v>2091</v>
      </c>
      <c r="W38" s="1989" t="s">
        <v>2092</v>
      </c>
      <c r="X38" s="1988"/>
      <c r="Y38" s="1989" t="s">
        <v>1499</v>
      </c>
      <c r="Z38" s="1994"/>
      <c r="AA38" s="1988"/>
      <c r="AB38" s="2238"/>
      <c r="AC38" s="1343" t="s">
        <v>2091</v>
      </c>
      <c r="AD38" s="1989" t="s">
        <v>2092</v>
      </c>
      <c r="AE38" s="1988"/>
      <c r="AF38" s="1989" t="s">
        <v>1499</v>
      </c>
      <c r="AG38" s="1994"/>
      <c r="AH38" s="1988"/>
      <c r="AI38" s="2238"/>
      <c r="AJ38" s="2241"/>
      <c r="AK38" s="2007"/>
    </row>
    <row r="39" spans="1:42" ht="86.25" customHeight="1">
      <c r="A39" s="1249"/>
      <c r="B39" s="1249" t="s">
        <v>136</v>
      </c>
      <c r="C39" s="1249" t="s">
        <v>137</v>
      </c>
      <c r="D39" s="1249" t="s">
        <v>138</v>
      </c>
      <c r="E39" s="1243" t="s">
        <v>1500</v>
      </c>
      <c r="F39" s="1243" t="s">
        <v>1501</v>
      </c>
      <c r="G39" s="1243" t="s">
        <v>1502</v>
      </c>
      <c r="H39" s="1243"/>
      <c r="I39" s="1243" t="s">
        <v>1687</v>
      </c>
      <c r="J39" s="1243" t="s">
        <v>1505</v>
      </c>
      <c r="K39" s="1243" t="s">
        <v>1688</v>
      </c>
      <c r="L39" s="1243" t="s">
        <v>1481</v>
      </c>
      <c r="Q39" s="304"/>
      <c r="R39" s="304"/>
      <c r="S39" s="2233"/>
      <c r="T39" s="2097"/>
      <c r="U39" s="220"/>
      <c r="V39" s="1343" t="s">
        <v>2093</v>
      </c>
      <c r="W39" s="1090" t="s">
        <v>2094</v>
      </c>
      <c r="X39" s="1090" t="s">
        <v>2095</v>
      </c>
      <c r="Y39" s="1349" t="s">
        <v>1509</v>
      </c>
      <c r="Z39" s="2103" t="s">
        <v>1510</v>
      </c>
      <c r="AA39" s="2117"/>
      <c r="AB39" s="2239"/>
      <c r="AC39" s="1343" t="s">
        <v>2093</v>
      </c>
      <c r="AD39" s="1090" t="s">
        <v>2094</v>
      </c>
      <c r="AE39" s="1090" t="s">
        <v>2095</v>
      </c>
      <c r="AF39" s="1349" t="s">
        <v>1509</v>
      </c>
      <c r="AG39" s="2103" t="s">
        <v>1510</v>
      </c>
      <c r="AH39" s="2117"/>
      <c r="AI39" s="2239"/>
      <c r="AJ39" s="2242"/>
      <c r="AK39" s="2007"/>
    </row>
    <row r="40" spans="1:42" s="1708" customFormat="1" ht="11.25" hidden="1" customHeight="1">
      <c r="A40" s="1249"/>
      <c r="B40" s="1249"/>
      <c r="C40" s="1249"/>
      <c r="D40" s="1249"/>
      <c r="E40" s="1249"/>
      <c r="F40" s="1249"/>
      <c r="G40" s="1249"/>
      <c r="H40" s="1249"/>
      <c r="I40" s="1249"/>
      <c r="J40" s="1249"/>
      <c r="K40" s="1249"/>
      <c r="L40" s="1243"/>
      <c r="M40" s="1241"/>
      <c r="N40" s="1241"/>
      <c r="O40" s="1241"/>
      <c r="P40" s="1117"/>
      <c r="Q40" s="1118"/>
      <c r="R40" s="1133">
        <v>1</v>
      </c>
      <c r="S40" s="1158" t="s">
        <v>108</v>
      </c>
      <c r="T40" s="1134" t="s">
        <v>109</v>
      </c>
      <c r="U40" s="1116" t="str">
        <f ca="1">OFFSET(U40,0,-1)</f>
        <v>2</v>
      </c>
      <c r="V40" s="1342">
        <f ca="1">OFFSET(V40,0,-1)+1</f>
        <v>3</v>
      </c>
      <c r="W40" s="1342">
        <f ca="1">OFFSET(W40,0,-1)+1</f>
        <v>4</v>
      </c>
      <c r="X40" s="1342">
        <f ca="1">OFFSET(X40,0,-1)+1</f>
        <v>5</v>
      </c>
      <c r="Y40" s="1342">
        <f ca="1">OFFSET(Y40,0,-1)+1</f>
        <v>6</v>
      </c>
      <c r="Z40" s="2231">
        <f ca="1">OFFSET(Z40,0,-1)+1</f>
        <v>7</v>
      </c>
      <c r="AA40" s="2231"/>
      <c r="AB40" s="1342">
        <f ca="1">OFFSET(AB40,0,-2)+1</f>
        <v>8</v>
      </c>
      <c r="AC40" s="1342">
        <f ca="1">OFFSET(AC40,0,-1)+1</f>
        <v>9</v>
      </c>
      <c r="AD40" s="1342">
        <f ca="1">OFFSET(AD40,0,-1)+1</f>
        <v>10</v>
      </c>
      <c r="AE40" s="1342">
        <f ca="1">OFFSET(AE40,0,-1)+1</f>
        <v>11</v>
      </c>
      <c r="AF40" s="1342">
        <f ca="1">OFFSET(AF40,0,-1)+1</f>
        <v>12</v>
      </c>
      <c r="AG40" s="2231">
        <f ca="1">OFFSET(AG40,0,-1)+1</f>
        <v>13</v>
      </c>
      <c r="AH40" s="2231"/>
      <c r="AI40" s="1342">
        <f ca="1">OFFSET(AI40,0,-2)+1</f>
        <v>14</v>
      </c>
      <c r="AJ40" s="1116">
        <f ca="1">OFFSET(AJ40,0,-1)</f>
        <v>14</v>
      </c>
      <c r="AK40" s="1342">
        <f ca="1">OFFSET(AK40,0,-1)+1</f>
        <v>15</v>
      </c>
      <c r="AL40" s="439"/>
      <c r="AM40" s="439"/>
      <c r="AN40" s="439"/>
      <c r="AO40" s="439"/>
      <c r="AP40" s="439"/>
    </row>
    <row r="41" spans="1:42" ht="23.25" customHeight="1">
      <c r="A41" s="1242" t="s">
        <v>243</v>
      </c>
      <c r="B41" s="1242"/>
      <c r="C41" s="1242"/>
      <c r="D41" s="1242"/>
      <c r="E41" s="2221">
        <v>1</v>
      </c>
      <c r="F41" s="1242"/>
      <c r="G41" s="1242"/>
      <c r="H41" s="1242"/>
      <c r="I41" s="1242"/>
      <c r="J41" s="1242"/>
      <c r="K41" s="1242"/>
      <c r="L41" s="1243"/>
      <c r="M41" s="1244"/>
      <c r="N41" s="1244"/>
      <c r="O41" s="1244"/>
      <c r="P41" s="285"/>
      <c r="Q41" s="284"/>
      <c r="R41" s="279"/>
      <c r="S41" s="1353">
        <f>INDEX(PT_DIFFERENTIATION_NUM_NTAR,MATCH(A41,PT_DIFFERENTIATION_NTAR_ID,0))</f>
        <v>0</v>
      </c>
      <c r="T41" s="216" t="s">
        <v>124</v>
      </c>
      <c r="U41" s="218"/>
      <c r="V41" s="2215"/>
      <c r="W41" s="2216"/>
      <c r="X41" s="2216"/>
      <c r="Y41" s="2216"/>
      <c r="Z41" s="2216"/>
      <c r="AA41" s="2216"/>
      <c r="AB41" s="2217"/>
      <c r="AC41" s="2215" t="str">
        <f>INDEX(PT_DIFFERENTIATION_NTAR,MATCH(A41,PT_DIFFERENTIATION_NTAR_ID,0))</f>
        <v/>
      </c>
      <c r="AD41" s="2216"/>
      <c r="AE41" s="2216"/>
      <c r="AF41" s="2216"/>
      <c r="AG41" s="2216"/>
      <c r="AH41" s="2216"/>
      <c r="AI41" s="2216"/>
      <c r="AJ41" s="2217"/>
      <c r="AK41" s="1138"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41" s="428"/>
      <c r="AN41" s="428" t="str">
        <f t="shared" ref="AN41:AN53" si="1">IF(T41="","",T41)</f>
        <v>Наименование тарифа</v>
      </c>
      <c r="AO41" s="428"/>
      <c r="AP41" s="428"/>
    </row>
    <row r="42" spans="1:42" ht="23.25" customHeight="1">
      <c r="A42" s="1242" t="s">
        <v>243</v>
      </c>
      <c r="B42" s="1242" t="s">
        <v>244</v>
      </c>
      <c r="C42" s="1242"/>
      <c r="D42" s="1242"/>
      <c r="E42" s="2222"/>
      <c r="F42" s="2221">
        <v>1</v>
      </c>
      <c r="G42" s="1242"/>
      <c r="H42" s="1242"/>
      <c r="I42" s="1242"/>
      <c r="J42" s="1242"/>
      <c r="K42" s="1242"/>
      <c r="L42" s="1243"/>
      <c r="M42" s="1244"/>
      <c r="N42" s="1244"/>
      <c r="O42" s="1244"/>
      <c r="P42" s="1347"/>
      <c r="Q42" s="276"/>
      <c r="R42" s="277"/>
      <c r="S42" s="1353" t="str">
        <f>INDEX(PT_DIFFERENTIATION_NUM_TER,MATCH(B42,PT_DIFFERENTIATION_TER_ID,0))</f>
        <v>.</v>
      </c>
      <c r="T42" s="228" t="s">
        <v>1463</v>
      </c>
      <c r="U42" s="218"/>
      <c r="V42" s="2215"/>
      <c r="W42" s="2216"/>
      <c r="X42" s="2216"/>
      <c r="Y42" s="2216"/>
      <c r="Z42" s="2216"/>
      <c r="AA42" s="2216"/>
      <c r="AB42" s="2217"/>
      <c r="AC42" s="2215" t="str">
        <f>INDEX(PT_DIFFERENTIATION_TER,MATCH(B42,PT_DIFFERENTIATION_TER_ID,0))</f>
        <v/>
      </c>
      <c r="AD42" s="2216"/>
      <c r="AE42" s="2216"/>
      <c r="AF42" s="2216"/>
      <c r="AG42" s="2216"/>
      <c r="AH42" s="2216"/>
      <c r="AI42" s="2216"/>
      <c r="AJ42" s="2217"/>
      <c r="AK42" s="1138" t="s">
        <v>1464</v>
      </c>
      <c r="AM42" s="428"/>
      <c r="AN42" s="428" t="str">
        <f t="shared" si="1"/>
        <v>Территория действия тарифа</v>
      </c>
      <c r="AO42" s="428"/>
      <c r="AP42" s="428"/>
    </row>
    <row r="43" spans="1:42" ht="23.25" customHeight="1">
      <c r="A43" s="1242" t="s">
        <v>243</v>
      </c>
      <c r="B43" s="1242" t="s">
        <v>244</v>
      </c>
      <c r="C43" s="1242" t="s">
        <v>245</v>
      </c>
      <c r="D43" s="1242"/>
      <c r="E43" s="2222"/>
      <c r="F43" s="2222"/>
      <c r="G43" s="2221">
        <v>1</v>
      </c>
      <c r="H43" s="1242"/>
      <c r="I43" s="1242"/>
      <c r="J43" s="1242"/>
      <c r="K43" s="1242"/>
      <c r="L43" s="1243"/>
      <c r="M43" s="1244"/>
      <c r="N43" s="1244"/>
      <c r="O43" s="1244"/>
      <c r="P43" s="278"/>
      <c r="Q43" s="276"/>
      <c r="R43" s="277"/>
      <c r="S43" s="1353" t="str">
        <f>INDEX(PT_DIFFERENTIATION_NUM_CS,MATCH(C43,PT_DIFFERENTIATION_CS_ID,0))</f>
        <v>..</v>
      </c>
      <c r="T43" s="229" t="s">
        <v>2089</v>
      </c>
      <c r="U43" s="218"/>
      <c r="V43" s="2215"/>
      <c r="W43" s="2216"/>
      <c r="X43" s="2216"/>
      <c r="Y43" s="2216"/>
      <c r="Z43" s="2216"/>
      <c r="AA43" s="2216"/>
      <c r="AB43" s="2217"/>
      <c r="AC43" s="2215" t="str">
        <f>INDEX(PT_DIFFERENTIATION_CS,MATCH(C43,PT_DIFFERENTIATION_CS_ID,0))</f>
        <v/>
      </c>
      <c r="AD43" s="2216"/>
      <c r="AE43" s="2216"/>
      <c r="AF43" s="2216"/>
      <c r="AG43" s="2216"/>
      <c r="AH43" s="2216"/>
      <c r="AI43" s="2216"/>
      <c r="AJ43" s="2217"/>
      <c r="AK43" s="1138" t="s">
        <v>2090</v>
      </c>
      <c r="AM43" s="428"/>
      <c r="AN43" s="428" t="str">
        <f t="shared" si="1"/>
        <v>Наименование централизованной системы горячего водоснабжения</v>
      </c>
      <c r="AO43" s="428"/>
      <c r="AP43" s="428"/>
    </row>
    <row r="44" spans="1:42" ht="23.25" customHeight="1">
      <c r="A44" s="1242" t="s">
        <v>243</v>
      </c>
      <c r="B44" s="1242" t="s">
        <v>244</v>
      </c>
      <c r="C44" s="1242" t="s">
        <v>245</v>
      </c>
      <c r="D44" s="1242" t="s">
        <v>2096</v>
      </c>
      <c r="E44" s="2222"/>
      <c r="F44" s="2222"/>
      <c r="G44" s="2222"/>
      <c r="H44" s="2222"/>
      <c r="I44" s="2223" t="str">
        <f>S43&amp;".1"</f>
        <v>...1</v>
      </c>
      <c r="J44" s="1242"/>
      <c r="K44" s="1242"/>
      <c r="L44" s="1243"/>
      <c r="P44" s="2143">
        <v>1</v>
      </c>
      <c r="Q44" s="1341"/>
      <c r="R44" s="280"/>
      <c r="S44" s="1353" t="str">
        <f>$I44</f>
        <v>...1</v>
      </c>
      <c r="T44" s="203" t="s">
        <v>1680</v>
      </c>
      <c r="U44" s="218"/>
      <c r="V44" s="2313"/>
      <c r="W44" s="2314"/>
      <c r="X44" s="2314"/>
      <c r="Y44" s="2314"/>
      <c r="Z44" s="2314"/>
      <c r="AA44" s="2314"/>
      <c r="AB44" s="2315"/>
      <c r="AC44" s="2316"/>
      <c r="AD44" s="2317"/>
      <c r="AE44" s="2317"/>
      <c r="AF44" s="2317"/>
      <c r="AG44" s="2317"/>
      <c r="AH44" s="2317"/>
      <c r="AI44" s="2317"/>
      <c r="AJ44" s="2318"/>
      <c r="AK44" s="1138" t="s">
        <v>1681</v>
      </c>
      <c r="AM44" s="428"/>
      <c r="AN44" s="428" t="str">
        <f t="shared" si="1"/>
        <v>Наименование признака дифференциации</v>
      </c>
      <c r="AO44" s="428"/>
      <c r="AP44" s="428"/>
    </row>
    <row r="45" spans="1:42" ht="23.25" customHeight="1">
      <c r="A45" s="1242" t="s">
        <v>243</v>
      </c>
      <c r="B45" s="1242" t="s">
        <v>244</v>
      </c>
      <c r="C45" s="1242" t="s">
        <v>245</v>
      </c>
      <c r="D45" s="1242" t="s">
        <v>2096</v>
      </c>
      <c r="E45" s="2222"/>
      <c r="F45" s="2222"/>
      <c r="G45" s="2222"/>
      <c r="H45" s="2222"/>
      <c r="I45" s="2224"/>
      <c r="J45" s="2223" t="str">
        <f>I44&amp;".1"</f>
        <v>...1.1</v>
      </c>
      <c r="K45" s="1242"/>
      <c r="L45" s="1243" t="s">
        <v>1472</v>
      </c>
      <c r="P45" s="2143"/>
      <c r="Q45" s="2143">
        <v>1</v>
      </c>
      <c r="R45" s="281"/>
      <c r="S45" s="1353" t="str">
        <f>$J45</f>
        <v>...1.1</v>
      </c>
      <c r="T45" s="204" t="s">
        <v>1473</v>
      </c>
      <c r="U45" s="218"/>
      <c r="V45" s="2210"/>
      <c r="W45" s="2211"/>
      <c r="X45" s="2211"/>
      <c r="Y45" s="2211"/>
      <c r="Z45" s="2211"/>
      <c r="AA45" s="2211"/>
      <c r="AB45" s="2212"/>
      <c r="AC45" s="2210"/>
      <c r="AD45" s="2211"/>
      <c r="AE45" s="2211"/>
      <c r="AF45" s="2211"/>
      <c r="AG45" s="2211"/>
      <c r="AH45" s="2211"/>
      <c r="AI45" s="2211"/>
      <c r="AJ45" s="2212"/>
      <c r="AK45" s="1192" t="s">
        <v>1682</v>
      </c>
      <c r="AM45" s="428"/>
      <c r="AN45" s="428" t="str">
        <f t="shared" si="1"/>
        <v>Группа потребителей</v>
      </c>
      <c r="AO45" s="428"/>
      <c r="AP45" s="428"/>
    </row>
    <row r="46" spans="1:42" ht="23.25" customHeight="1">
      <c r="A46" s="1242" t="s">
        <v>243</v>
      </c>
      <c r="B46" s="1242" t="s">
        <v>244</v>
      </c>
      <c r="C46" s="1242" t="s">
        <v>245</v>
      </c>
      <c r="D46" s="1242" t="s">
        <v>2096</v>
      </c>
      <c r="E46" s="2222"/>
      <c r="F46" s="2222"/>
      <c r="G46" s="2222"/>
      <c r="H46" s="2222"/>
      <c r="I46" s="2224"/>
      <c r="J46" s="2224"/>
      <c r="K46" s="2223" t="str">
        <f>J45&amp;".1"</f>
        <v>...1.1.1</v>
      </c>
      <c r="L46" s="1243"/>
      <c r="P46" s="2143"/>
      <c r="Q46" s="2143"/>
      <c r="R46" s="281">
        <v>1</v>
      </c>
      <c r="S46" s="1353" t="str">
        <f>$K46</f>
        <v>...1.1.1</v>
      </c>
      <c r="T46" s="1304"/>
      <c r="U46" s="218"/>
      <c r="V46" s="1668"/>
      <c r="W46" s="1668"/>
      <c r="X46" s="1669"/>
      <c r="Y46" s="2219"/>
      <c r="Z46" s="2218" t="s">
        <v>62</v>
      </c>
      <c r="AA46" s="2219"/>
      <c r="AB46" s="2218" t="s">
        <v>62</v>
      </c>
      <c r="AC46" s="1664"/>
      <c r="AD46" s="1664"/>
      <c r="AE46" s="1666"/>
      <c r="AF46" s="2225"/>
      <c r="AG46" s="2017" t="s">
        <v>62</v>
      </c>
      <c r="AH46" s="2227"/>
      <c r="AI46" s="2017" t="s">
        <v>55</v>
      </c>
      <c r="AJ46" s="1703"/>
      <c r="AK46" s="2319"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46" s="439" t="e">
        <f ca="1">STRCHECKDATE(V47:AJ47)</f>
        <v>#NAME?</v>
      </c>
      <c r="AM46" s="428"/>
      <c r="AN46" s="428" t="str">
        <f t="shared" si="1"/>
        <v/>
      </c>
      <c r="AO46" s="428"/>
      <c r="AP46" s="428"/>
    </row>
    <row r="47" spans="1:42" ht="0" hidden="1" customHeight="1">
      <c r="A47" s="1242" t="s">
        <v>243</v>
      </c>
      <c r="B47" s="1242" t="s">
        <v>244</v>
      </c>
      <c r="C47" s="1242" t="s">
        <v>245</v>
      </c>
      <c r="D47" s="1242" t="s">
        <v>2096</v>
      </c>
      <c r="E47" s="2222"/>
      <c r="F47" s="2222"/>
      <c r="G47" s="2222"/>
      <c r="H47" s="2222"/>
      <c r="I47" s="2224"/>
      <c r="J47" s="2224"/>
      <c r="K47" s="2223"/>
      <c r="L47" s="1243"/>
      <c r="P47" s="2143"/>
      <c r="Q47" s="2143"/>
      <c r="R47" s="281"/>
      <c r="S47" s="1350"/>
      <c r="T47" s="218"/>
      <c r="U47" s="218"/>
      <c r="V47" s="1668"/>
      <c r="W47" s="1668"/>
      <c r="X47" s="1667" t="str">
        <f>Y46&amp;"-"&amp;AA46</f>
        <v>-</v>
      </c>
      <c r="Y47" s="2218"/>
      <c r="Z47" s="2218"/>
      <c r="AA47" s="2218"/>
      <c r="AB47" s="2218"/>
      <c r="AC47" s="1665"/>
      <c r="AD47" s="1665"/>
      <c r="AE47" s="1667" t="str">
        <f>AF46&amp;"-"&amp;AH46</f>
        <v>-</v>
      </c>
      <c r="AF47" s="2226"/>
      <c r="AG47" s="2017"/>
      <c r="AH47" s="2228"/>
      <c r="AI47" s="2017"/>
      <c r="AJ47" s="1704"/>
      <c r="AK47" s="2319"/>
      <c r="AM47" s="428"/>
      <c r="AN47" s="428" t="str">
        <f t="shared" si="1"/>
        <v/>
      </c>
      <c r="AO47" s="428"/>
      <c r="AP47" s="428"/>
    </row>
    <row r="48" spans="1:42" ht="21" customHeight="1">
      <c r="A48" s="1242" t="s">
        <v>243</v>
      </c>
      <c r="B48" s="1242" t="s">
        <v>244</v>
      </c>
      <c r="C48" s="1242" t="s">
        <v>245</v>
      </c>
      <c r="D48" s="1242" t="s">
        <v>2096</v>
      </c>
      <c r="E48" s="2222"/>
      <c r="F48" s="2222"/>
      <c r="G48" s="2222"/>
      <c r="H48" s="2222"/>
      <c r="I48" s="2224"/>
      <c r="J48" s="2223"/>
      <c r="K48" s="1242"/>
      <c r="L48" s="1243"/>
      <c r="P48" s="2143"/>
      <c r="Q48" s="2143"/>
      <c r="R48" s="280"/>
      <c r="S48" s="1159"/>
      <c r="T48" s="205" t="s">
        <v>1683</v>
      </c>
      <c r="U48" s="294"/>
      <c r="V48" s="294"/>
      <c r="W48" s="294"/>
      <c r="X48" s="294"/>
      <c r="Y48" s="294"/>
      <c r="Z48" s="294"/>
      <c r="AA48" s="294"/>
      <c r="AB48" s="294"/>
      <c r="AC48" s="294"/>
      <c r="AD48" s="294"/>
      <c r="AE48" s="294"/>
      <c r="AF48" s="294"/>
      <c r="AG48" s="294"/>
      <c r="AH48" s="294"/>
      <c r="AI48" s="294"/>
      <c r="AJ48" s="294"/>
      <c r="AK48" s="1138" t="s">
        <v>1684</v>
      </c>
      <c r="AM48" s="428"/>
      <c r="AN48" s="428" t="str">
        <f t="shared" si="1"/>
        <v>Добавить значение признака дифференциации</v>
      </c>
      <c r="AO48" s="428"/>
      <c r="AP48" s="428"/>
    </row>
    <row r="49" spans="1:42" ht="21" customHeight="1">
      <c r="A49" s="1242" t="s">
        <v>243</v>
      </c>
      <c r="B49" s="1242" t="s">
        <v>244</v>
      </c>
      <c r="C49" s="1242" t="s">
        <v>245</v>
      </c>
      <c r="D49" s="1242" t="s">
        <v>2096</v>
      </c>
      <c r="E49" s="2222"/>
      <c r="F49" s="2222"/>
      <c r="G49" s="2222"/>
      <c r="H49" s="2222"/>
      <c r="I49" s="2223"/>
      <c r="J49" s="1242"/>
      <c r="K49" s="1242"/>
      <c r="L49" s="1243"/>
      <c r="P49" s="2143"/>
      <c r="Q49" s="1341"/>
      <c r="R49" s="280"/>
      <c r="S49" s="1159"/>
      <c r="T49" s="291" t="s">
        <v>1478</v>
      </c>
      <c r="U49" s="294"/>
      <c r="V49" s="294"/>
      <c r="W49" s="294"/>
      <c r="X49" s="294"/>
      <c r="Y49" s="294"/>
      <c r="Z49" s="294"/>
      <c r="AA49" s="294"/>
      <c r="AB49" s="293"/>
      <c r="AC49" s="294"/>
      <c r="AD49" s="294"/>
      <c r="AE49" s="294"/>
      <c r="AF49" s="294"/>
      <c r="AG49" s="294"/>
      <c r="AH49" s="294"/>
      <c r="AI49" s="293"/>
      <c r="AJ49" s="294"/>
      <c r="AK49" s="1305"/>
      <c r="AM49" s="428"/>
      <c r="AN49" s="428" t="str">
        <f t="shared" si="1"/>
        <v>Добавить группу потребителей</v>
      </c>
      <c r="AO49" s="428"/>
      <c r="AP49" s="428"/>
    </row>
    <row r="50" spans="1:42" ht="21" customHeight="1">
      <c r="A50" s="1242" t="s">
        <v>243</v>
      </c>
      <c r="B50" s="1242" t="s">
        <v>244</v>
      </c>
      <c r="C50" s="1242" t="s">
        <v>245</v>
      </c>
      <c r="D50" s="1242" t="s">
        <v>2096</v>
      </c>
      <c r="E50" s="2222"/>
      <c r="F50" s="2222"/>
      <c r="G50" s="2222"/>
      <c r="H50" s="2221"/>
      <c r="I50" s="1242"/>
      <c r="J50" s="1242"/>
      <c r="K50" s="1242"/>
      <c r="L50" s="1243"/>
      <c r="M50" s="1244"/>
      <c r="N50" s="1244"/>
      <c r="O50" s="464"/>
      <c r="P50" s="284"/>
      <c r="Q50" s="303"/>
      <c r="R50" s="279"/>
      <c r="S50" s="1159"/>
      <c r="T50" s="299" t="s">
        <v>1685</v>
      </c>
      <c r="U50" s="294"/>
      <c r="V50" s="294"/>
      <c r="W50" s="294"/>
      <c r="X50" s="294"/>
      <c r="Y50" s="294"/>
      <c r="Z50" s="294"/>
      <c r="AA50" s="294"/>
      <c r="AB50" s="293"/>
      <c r="AC50" s="294"/>
      <c r="AD50" s="294"/>
      <c r="AE50" s="294"/>
      <c r="AF50" s="294"/>
      <c r="AG50" s="294"/>
      <c r="AH50" s="294"/>
      <c r="AI50" s="293"/>
      <c r="AJ50" s="294"/>
      <c r="AK50" s="221"/>
      <c r="AM50" s="428"/>
      <c r="AN50" s="428" t="str">
        <f t="shared" si="1"/>
        <v>Добавить наименование признака дифференциации</v>
      </c>
      <c r="AO50" s="428"/>
      <c r="AP50" s="428"/>
    </row>
    <row r="51" spans="1:42" s="1755" customFormat="1" ht="0.75" customHeight="1">
      <c r="A51" s="1226" t="s">
        <v>243</v>
      </c>
      <c r="B51" s="1226" t="s">
        <v>244</v>
      </c>
      <c r="C51" s="1198"/>
      <c r="D51" s="1198"/>
      <c r="E51" s="2222"/>
      <c r="F51" s="2221"/>
      <c r="G51" s="1198"/>
      <c r="H51" s="1198"/>
      <c r="I51" s="1198"/>
      <c r="J51" s="1198"/>
      <c r="K51" s="1198"/>
      <c r="L51" s="1354"/>
      <c r="M51" s="1205"/>
      <c r="N51" s="1205"/>
      <c r="P51" s="1200"/>
      <c r="Q51" s="1201"/>
      <c r="R51" s="1200"/>
      <c r="S51" s="1206"/>
      <c r="T51" s="1209" t="s">
        <v>1439</v>
      </c>
      <c r="U51" s="1208"/>
      <c r="V51" s="1208"/>
      <c r="W51" s="1208"/>
      <c r="X51" s="1208"/>
      <c r="Y51" s="1208"/>
      <c r="Z51" s="1208"/>
      <c r="AA51" s="1208"/>
      <c r="AB51" s="1208"/>
      <c r="AC51" s="1208"/>
      <c r="AD51" s="1208"/>
      <c r="AE51" s="1208"/>
      <c r="AF51" s="1208"/>
      <c r="AG51" s="1208"/>
      <c r="AH51" s="1208"/>
      <c r="AI51" s="1208"/>
      <c r="AJ51" s="1208"/>
      <c r="AK51" s="1208"/>
      <c r="AM51" s="695"/>
      <c r="AN51" s="695" t="str">
        <f t="shared" si="1"/>
        <v>Добавить централизованную систему для дифференциации</v>
      </c>
      <c r="AO51" s="695"/>
      <c r="AP51" s="695"/>
    </row>
    <row r="52" spans="1:42" s="1755" customFormat="1" ht="0.75" customHeight="1">
      <c r="A52" s="1226" t="s">
        <v>243</v>
      </c>
      <c r="B52" s="1226"/>
      <c r="C52" s="1226"/>
      <c r="D52" s="1226"/>
      <c r="E52" s="2221"/>
      <c r="F52" s="1226"/>
      <c r="G52" s="1226"/>
      <c r="H52" s="1226"/>
      <c r="I52" s="1226"/>
      <c r="J52" s="1226"/>
      <c r="K52" s="1226"/>
      <c r="L52" s="1229"/>
      <c r="M52" s="1205"/>
      <c r="N52" s="1205"/>
      <c r="O52" s="446"/>
      <c r="P52" s="311"/>
      <c r="Q52" s="1227"/>
      <c r="R52" s="311"/>
      <c r="S52" s="1206"/>
      <c r="T52" s="1209" t="s">
        <v>1440</v>
      </c>
      <c r="U52" s="1208"/>
      <c r="V52" s="1208"/>
      <c r="W52" s="1208"/>
      <c r="X52" s="1208"/>
      <c r="Y52" s="1208"/>
      <c r="Z52" s="1208"/>
      <c r="AA52" s="1208"/>
      <c r="AB52" s="1208"/>
      <c r="AC52" s="1208"/>
      <c r="AD52" s="1208"/>
      <c r="AE52" s="1208"/>
      <c r="AF52" s="1208"/>
      <c r="AG52" s="1208"/>
      <c r="AH52" s="1208"/>
      <c r="AI52" s="1208"/>
      <c r="AJ52" s="1208"/>
      <c r="AK52" s="1208"/>
      <c r="AM52" s="428"/>
      <c r="AN52" s="428" t="str">
        <f t="shared" si="1"/>
        <v>Добавить территорию для дифференциации</v>
      </c>
      <c r="AO52" s="428"/>
      <c r="AP52" s="428"/>
    </row>
    <row r="53" spans="1:42" s="1755" customFormat="1" ht="0.75" customHeight="1">
      <c r="A53" s="1198"/>
      <c r="B53" s="1198"/>
      <c r="C53" s="1198"/>
      <c r="D53" s="1198"/>
      <c r="E53" s="1226"/>
      <c r="F53" s="1198"/>
      <c r="G53" s="1198"/>
      <c r="H53" s="1198"/>
      <c r="I53" s="1198"/>
      <c r="J53" s="1198"/>
      <c r="K53" s="1198"/>
      <c r="L53" s="1354"/>
      <c r="M53" s="1205"/>
      <c r="N53" s="1205"/>
      <c r="P53" s="1200"/>
      <c r="Q53" s="1201"/>
      <c r="R53" s="1200"/>
      <c r="S53" s="1206"/>
      <c r="T53" s="1209" t="s">
        <v>1441</v>
      </c>
      <c r="U53" s="1208"/>
      <c r="V53" s="1208"/>
      <c r="W53" s="1208"/>
      <c r="X53" s="1208"/>
      <c r="Y53" s="1208"/>
      <c r="Z53" s="1208"/>
      <c r="AA53" s="1208"/>
      <c r="AB53" s="1208"/>
      <c r="AC53" s="1208"/>
      <c r="AD53" s="1208"/>
      <c r="AE53" s="1208"/>
      <c r="AF53" s="1208"/>
      <c r="AG53" s="1208"/>
      <c r="AH53" s="1208"/>
      <c r="AI53" s="1208"/>
      <c r="AJ53" s="1208"/>
      <c r="AK53" s="1208"/>
      <c r="AM53" s="695"/>
      <c r="AN53" s="695" t="str">
        <f t="shared" si="1"/>
        <v>Добавить наименование тарифа</v>
      </c>
      <c r="AO53" s="695"/>
      <c r="AP53" s="695"/>
    </row>
    <row r="54" spans="1:42" ht="11.25" customHeight="1">
      <c r="M54" s="1034"/>
      <c r="N54" s="1034"/>
      <c r="O54" s="464"/>
      <c r="P54" s="1029"/>
      <c r="Q54" s="1029"/>
      <c r="R54" s="1029"/>
      <c r="S54" s="1029"/>
      <c r="AL54" s="1029"/>
      <c r="AM54" s="1029"/>
      <c r="AN54" s="1029"/>
      <c r="AO54" s="1029"/>
      <c r="AP54" s="1029"/>
    </row>
    <row r="55" spans="1:42" ht="14.25" customHeight="1">
      <c r="O55" s="464"/>
      <c r="S55" s="1126" t="s">
        <v>1511</v>
      </c>
      <c r="T55" s="2220" t="s">
        <v>2097</v>
      </c>
      <c r="U55" s="2220"/>
      <c r="V55" s="2220"/>
      <c r="W55" s="2220"/>
      <c r="X55" s="2220"/>
      <c r="Y55" s="2220"/>
      <c r="Z55" s="2220"/>
      <c r="AA55" s="2220"/>
      <c r="AB55" s="2220"/>
      <c r="AC55" s="2220"/>
      <c r="AD55" s="2220"/>
      <c r="AE55" s="2220"/>
      <c r="AF55" s="2220"/>
      <c r="AG55" s="2220"/>
      <c r="AH55" s="2220"/>
      <c r="AI55" s="2220"/>
      <c r="AJ55" s="2220"/>
      <c r="AK55" s="2220"/>
    </row>
    <row r="56" spans="1:42" ht="14.25" customHeight="1">
      <c r="O56" s="464"/>
    </row>
    <row r="57" spans="1:42" ht="14.25" customHeight="1">
      <c r="O57" s="464"/>
      <c r="S57" s="1126" t="s">
        <v>1511</v>
      </c>
      <c r="T57" s="2220" t="s">
        <v>2098</v>
      </c>
      <c r="U57" s="2220"/>
      <c r="V57" s="2220"/>
      <c r="W57" s="2220"/>
      <c r="X57" s="2220"/>
      <c r="Y57" s="2220"/>
      <c r="Z57" s="2220"/>
      <c r="AA57" s="2220"/>
      <c r="AB57" s="2220"/>
      <c r="AC57" s="2220"/>
      <c r="AD57" s="2220"/>
      <c r="AE57" s="2220"/>
      <c r="AF57" s="2220"/>
      <c r="AG57" s="2220"/>
      <c r="AH57" s="2220"/>
      <c r="AI57" s="2220"/>
      <c r="AJ57" s="2220"/>
      <c r="AK57" s="2220"/>
    </row>
  </sheetData>
  <sheetProtection formatColumns="0" formatRows="0" insertRows="0" deleteColumns="0" deleteRows="0" sort="0" autoFilter="0"/>
  <mergeCells count="101">
    <mergeCell ref="E2:E13"/>
    <mergeCell ref="V2:AB2"/>
    <mergeCell ref="AC2:AJ2"/>
    <mergeCell ref="F3:F12"/>
    <mergeCell ref="V3:AB3"/>
    <mergeCell ref="AC3:AJ3"/>
    <mergeCell ref="G4:G11"/>
    <mergeCell ref="V4:AB4"/>
    <mergeCell ref="AC4:AJ4"/>
    <mergeCell ref="H5:H11"/>
    <mergeCell ref="I5:I10"/>
    <mergeCell ref="P5:P10"/>
    <mergeCell ref="V5:AB5"/>
    <mergeCell ref="AC5:AJ5"/>
    <mergeCell ref="J6:J9"/>
    <mergeCell ref="Q6:Q9"/>
    <mergeCell ref="V6:AB6"/>
    <mergeCell ref="AC6:AJ6"/>
    <mergeCell ref="K7:K8"/>
    <mergeCell ref="Y7:Y8"/>
    <mergeCell ref="AI7:AI8"/>
    <mergeCell ref="AK7:AK8"/>
    <mergeCell ref="AF15:AF16"/>
    <mergeCell ref="AG15:AG16"/>
    <mergeCell ref="AH15:AH16"/>
    <mergeCell ref="AI15:AI16"/>
    <mergeCell ref="Z7:Z8"/>
    <mergeCell ref="AA7:AA8"/>
    <mergeCell ref="AB7:AB8"/>
    <mergeCell ref="AF7:AF8"/>
    <mergeCell ref="AG7:AG8"/>
    <mergeCell ref="AH7:AH8"/>
    <mergeCell ref="S29:T29"/>
    <mergeCell ref="V29:AA29"/>
    <mergeCell ref="AC29:AH29"/>
    <mergeCell ref="S30:T30"/>
    <mergeCell ref="V30:AA30"/>
    <mergeCell ref="AC30:AH30"/>
    <mergeCell ref="S24:AH24"/>
    <mergeCell ref="S25:AH25"/>
    <mergeCell ref="S27:T27"/>
    <mergeCell ref="V27:AA27"/>
    <mergeCell ref="AC27:AH27"/>
    <mergeCell ref="S28:T28"/>
    <mergeCell ref="V28:AA28"/>
    <mergeCell ref="AC28:AH28"/>
    <mergeCell ref="AK36:AK39"/>
    <mergeCell ref="S37:S39"/>
    <mergeCell ref="T37:T39"/>
    <mergeCell ref="V37:AA37"/>
    <mergeCell ref="AB37:AB39"/>
    <mergeCell ref="AC37:AH37"/>
    <mergeCell ref="AI37:AI39"/>
    <mergeCell ref="S32:T32"/>
    <mergeCell ref="V32:AA32"/>
    <mergeCell ref="AC32:AH32"/>
    <mergeCell ref="S33:T33"/>
    <mergeCell ref="V33:AA33"/>
    <mergeCell ref="AC33:AH33"/>
    <mergeCell ref="AJ37:AJ39"/>
    <mergeCell ref="W38:X38"/>
    <mergeCell ref="Y38:AA38"/>
    <mergeCell ref="AD38:AE38"/>
    <mergeCell ref="AF38:AH38"/>
    <mergeCell ref="Z39:AA39"/>
    <mergeCell ref="AG39:AH39"/>
    <mergeCell ref="V35:AB35"/>
    <mergeCell ref="AC35:AI35"/>
    <mergeCell ref="S36:AJ36"/>
    <mergeCell ref="Z40:AA40"/>
    <mergeCell ref="AG40:AH40"/>
    <mergeCell ref="E41:E52"/>
    <mergeCell ref="V41:AB41"/>
    <mergeCell ref="AC41:AJ41"/>
    <mergeCell ref="F42:F51"/>
    <mergeCell ref="V42:AB42"/>
    <mergeCell ref="AC42:AJ42"/>
    <mergeCell ref="G43:G50"/>
    <mergeCell ref="V43:AB43"/>
    <mergeCell ref="AC43:AJ43"/>
    <mergeCell ref="H44:H50"/>
    <mergeCell ref="I44:I49"/>
    <mergeCell ref="P44:P49"/>
    <mergeCell ref="V44:AB44"/>
    <mergeCell ref="AC44:AJ44"/>
    <mergeCell ref="J45:J48"/>
    <mergeCell ref="Q45:Q48"/>
    <mergeCell ref="V45:AB45"/>
    <mergeCell ref="AC45:AJ45"/>
    <mergeCell ref="AG46:AG47"/>
    <mergeCell ref="AH46:AH47"/>
    <mergeCell ref="AI46:AI47"/>
    <mergeCell ref="AK46:AK47"/>
    <mergeCell ref="T55:AK55"/>
    <mergeCell ref="T57:AK57"/>
    <mergeCell ref="K46:K47"/>
    <mergeCell ref="Y46:Y47"/>
    <mergeCell ref="Z46:Z47"/>
    <mergeCell ref="AA46:AA47"/>
    <mergeCell ref="AB46:AB47"/>
    <mergeCell ref="AF46:AF47"/>
  </mergeCells>
  <dataValidations count="8">
    <dataValidation type="list" allowBlank="1" showInputMessage="1" errorTitle="Ошибка" error="Выберите значение из списка" prompt="Выберите значение из списка" sqref="V983081:AJ983081 V65577:AJ65577 V131113:AJ131113 V196649:AJ196649 V262185:AJ262185 V327721:AJ327721 V393257:AJ393257 V458793:AJ458793 V524329:AJ524329 V589865:AJ589865 V655401:AJ655401 V720937:AJ720937 V786473:AJ786473 V852009:AJ852009 V917545:AJ917545">
      <formula1>kind_of_cons</formula1>
    </dataValidation>
    <dataValidation allowBlank="1" sqref="S131116:AK131122 S196652:AK196658 S262188:AK262194 S327724:AK327730 S393260:AK393266 S458796:AK458802 S524332:AK524338 S589868:AK589874 S655404:AK655410 S720940:AK720946 S786476:AK786482 S852012:AK852018 S917548:AK917554 S983084:AK983090 S65580:AK65586"/>
    <dataValidation allowBlank="1" showInputMessage="1" showErrorMessage="1" prompt="Для выбора выполните двойной щелчок левой клавиши мыши по соответствующей ячейке." sqref="Z65578 Z131114 Z196650 Z262186 Z327722 Z393258 Z458794 Z524330 Z589866 Z655402 Z720938 Z786474 Z852010 Z917546 Z983082 AB131114 AB458794 AB196650 AB262186 AB327722 AB393258 AB524330 AB589866 AB655402 AB720938 AB786474 AB852010 AB917546 AB983082 AB65578 AG65578 AG131114 AG196650 AG262186 AG327722 AG393258 AG458794 AG524330 AG589866 AG655402 AG720938 AG786474 AG852010 AG917546 AG983082 AI524330 AI196650 AI589866 AI655402 AI15 AI720938 AI786474 AI852010 AI917546 AI983082 AI65578 AI131114 AI458794 AI262186 AI7 AG46 AI327722 AG15 AG7 Z7 AB7 AI393258 AI46 Z46 AB46"/>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Y65578 Y131114 Y196650 Y262186 Y327722 Y393258 Y458794 Y524330 Y589866 Y655402 Y720938 Y786474 Y852010 Y917546 Y983082 AA65578 AA131114 AA196650 AA262186 AA327722 AA393258 AA458794 AA524330 AA589866 AA655402 AA720938 AA786474 AA852010 AA917546 AA983082 AF15 AF65578 AF131114 AF196650 AF262186 AF327722 AF393258 AF458794 AF524330 AF589866 AF655402 AF720938 AF786474 AF852010 AF917546 AF983082 AH65578 AH131114 AH196650 AH262186 AH327722 AH393258 AH458794 AH524330 AH589866 AH655402 AH720938 AH786474 AH852010 AH917546 AH983082 AH46 AF46 AH15 AH7 AF7 Y7 AA7 Y46 AA46"/>
    <dataValidation type="list" allowBlank="1" showInputMessage="1" showErrorMessage="1" errorTitle="Ошибка" error="Выберите значение из списка" sqref="T65578 T131114 T196650 T262186 T327722 T393258 T458794 T524330 T589866 T655402 T720938 T786474 T852010 T917546 T983082">
      <formula1>kind_of_heat_transfer</formula1>
    </dataValidation>
    <dataValidation type="textLength" operator="lessThanOrEqual" allowBlank="1" showInputMessage="1" showErrorMessage="1" errorTitle="Ошибка" error="Допускается ввод не более 900 символов!" sqref="AK65572:AK65579 AK131108:AK131115 AK196644:AK196651 AK262180:AK262187 AK327716:AK327723 AK393252:AK393259 AK458788:AK458795 AK524324:AK524331 AK589860:AK589867 AK655396:AK655403 AK720932:AK720939 AK786468:AK786475 AK852004:AK852011 AK917540:AK917547 AK983076:AK983083 T46 T7 AC5:AJ5 AC44:AJ44">
      <formula1>900</formula1>
    </dataValidation>
    <dataValidation type="list" allowBlank="1" showInputMessage="1" showErrorMessage="1" errorTitle="Ошибка" error="Выберите значение из списка" sqref="V983080 V65576 V131112 V196648 V262184 V327720 V393256 V458792 V524328 V589864 V655400 V720936 V786472 V852008 V917544 AC983080 AC65576 AC131112 AC196648 AC262184 AC327720 AC393256 AC458792 AC524328 AC589864 AC655400 AC720936 AC786472 AC852008 AC917544">
      <formula1>kind_of_scheme_in</formula1>
    </dataValidation>
    <dataValidation allowBlank="1" promptTitle="checkPeriodRange" sqref="X65579 X131115 X196651 X262187 X327723 X393259 X458795 X524331 X589867 X655403 X720939 X786475 X852011 X917547 X983083 AE16 AE65579 AE131115 AE196651 AE262187 AE327723 AE393259 AE458795 AE524331 AE589867 AE655403 AE720939 AE786475 AE852011 AE917547 AE983083 AE47 AE8 X8 X47"/>
  </dataValidation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39997558519241921"/>
  </sheetPr>
  <dimension ref="A1:BH68"/>
  <sheetViews>
    <sheetView showGridLines="0" topLeftCell="R27" zoomScale="90" workbookViewId="0"/>
  </sheetViews>
  <sheetFormatPr defaultColWidth="10.5703125" defaultRowHeight="14.25" customHeight="1"/>
  <cols>
    <col min="1" max="1" width="11.5703125" style="1742" hidden="1" customWidth="1"/>
    <col min="2" max="2" width="11" style="1742" hidden="1" customWidth="1"/>
    <col min="3" max="3" width="10.5703125" style="1742" hidden="1"/>
    <col min="4" max="4" width="12.85546875" style="1742" hidden="1" customWidth="1"/>
    <col min="5" max="5" width="10" style="1742" hidden="1" customWidth="1"/>
    <col min="6" max="6" width="8.7109375" style="1742" hidden="1" customWidth="1"/>
    <col min="7" max="7" width="7.5703125" style="1742" hidden="1" customWidth="1"/>
    <col min="8" max="8" width="11.42578125" style="1742" hidden="1" customWidth="1"/>
    <col min="9" max="9" width="12" style="1742" hidden="1" customWidth="1"/>
    <col min="10" max="10" width="9.85546875" style="1742" hidden="1" customWidth="1"/>
    <col min="11" max="11" width="11.42578125" style="1742" hidden="1" customWidth="1"/>
    <col min="12" max="12" width="19.140625" style="1741" hidden="1" customWidth="1"/>
    <col min="13" max="14" width="12.28515625" style="1683" hidden="1" customWidth="1"/>
    <col min="15" max="15" width="23.42578125" style="1683" hidden="1" customWidth="1"/>
    <col min="16" max="16" width="3.7109375" style="1683" hidden="1" customWidth="1"/>
    <col min="17" max="17" width="3.7109375" style="1670" hidden="1" customWidth="1"/>
    <col min="18" max="18" width="3.7109375" style="1674" customWidth="1"/>
    <col min="19" max="19" width="12.7109375" style="1713" customWidth="1"/>
    <col min="20" max="20" width="32" style="1829" customWidth="1"/>
    <col min="21" max="21" width="0.140625" style="1829" customWidth="1"/>
    <col min="22" max="25" width="21.7109375" style="1829" hidden="1" customWidth="1"/>
    <col min="26" max="26" width="11.7109375" style="1829" hidden="1" customWidth="1"/>
    <col min="27" max="27" width="3.7109375" style="1829" hidden="1" customWidth="1"/>
    <col min="28" max="28" width="11.7109375" style="1829" hidden="1" customWidth="1"/>
    <col min="29" max="29" width="8.5703125" style="1829" hidden="1" customWidth="1"/>
    <col min="30" max="32" width="3.7109375" style="1829" customWidth="1"/>
    <col min="33" max="33" width="24.7109375" style="1829" customWidth="1"/>
    <col min="34" max="36" width="3.7109375" style="1829" customWidth="1"/>
    <col min="37" max="37" width="24.7109375" style="1829" customWidth="1"/>
    <col min="38" max="40" width="3.7109375" style="1829" customWidth="1"/>
    <col min="41" max="41" width="18.85546875" style="1829" customWidth="1"/>
    <col min="42" max="44" width="3.7109375" style="1829" customWidth="1"/>
    <col min="45" max="45" width="18.85546875" style="1829" customWidth="1"/>
    <col min="46" max="49" width="21.7109375" style="1829" customWidth="1"/>
    <col min="50" max="50" width="11.7109375" style="1829" customWidth="1"/>
    <col min="51" max="51" width="3.7109375" style="1829" customWidth="1"/>
    <col min="52" max="52" width="11.7109375" style="1829" customWidth="1"/>
    <col min="53" max="53" width="8.5703125" style="1829" hidden="1" customWidth="1"/>
    <col min="54" max="54" width="4.7109375" style="1829" customWidth="1"/>
    <col min="55" max="55" width="115.7109375" style="1829" customWidth="1"/>
    <col min="56" max="57" width="10.5703125" style="1755"/>
    <col min="58" max="58" width="11.140625" style="1755" customWidth="1"/>
    <col min="59" max="60" width="10.5703125" style="1755"/>
  </cols>
  <sheetData>
    <row r="1" spans="1:60" ht="14.25" hidden="1" customHeight="1">
      <c r="W1" s="254"/>
      <c r="Y1" s="254"/>
      <c r="Z1" s="254"/>
      <c r="AW1" s="254"/>
      <c r="AX1" s="254"/>
    </row>
    <row r="2" spans="1:60" ht="21" hidden="1" customHeight="1">
      <c r="A2" s="1242"/>
      <c r="B2" s="1242"/>
      <c r="C2" s="1242"/>
      <c r="D2" s="1242"/>
      <c r="E2" s="2221">
        <v>1</v>
      </c>
      <c r="F2" s="1242"/>
      <c r="G2" s="1242"/>
      <c r="H2" s="1242"/>
      <c r="I2" s="1242"/>
      <c r="J2" s="1242"/>
      <c r="K2" s="1242"/>
      <c r="L2" s="1243"/>
      <c r="M2" s="1244"/>
      <c r="N2" s="1244"/>
      <c r="O2" s="1244"/>
      <c r="P2" s="1277"/>
      <c r="Q2" s="770"/>
      <c r="R2" s="279"/>
      <c r="S2" s="1353" t="e">
        <f>INDEX(PT_DIFFERENTIATION_NUM_NTAR,MATCH(A2,PT_DIFFERENTIATION_NTAR_ID,0))</f>
        <v>#N/A</v>
      </c>
      <c r="T2" s="216" t="s">
        <v>124</v>
      </c>
      <c r="U2" s="218"/>
      <c r="V2" s="2216"/>
      <c r="W2" s="2216"/>
      <c r="X2" s="2216"/>
      <c r="Y2" s="2216"/>
      <c r="Z2" s="2216"/>
      <c r="AA2" s="2216"/>
      <c r="AB2" s="2216"/>
      <c r="AC2" s="2217"/>
      <c r="AD2" s="2215" t="e">
        <f>INDEX(PT_DIFFERENTIATION_NTAR,MATCH(A2,PT_DIFFERENTIATION_NTAR_ID,0))</f>
        <v>#N/A</v>
      </c>
      <c r="AE2" s="2216"/>
      <c r="AF2" s="2216"/>
      <c r="AG2" s="2216"/>
      <c r="AH2" s="2216"/>
      <c r="AI2" s="2216"/>
      <c r="AJ2" s="2216"/>
      <c r="AK2" s="2216"/>
      <c r="AL2" s="2216"/>
      <c r="AM2" s="2216"/>
      <c r="AN2" s="2216"/>
      <c r="AO2" s="2216"/>
      <c r="AP2" s="2216"/>
      <c r="AQ2" s="2216"/>
      <c r="AR2" s="2216"/>
      <c r="AS2" s="2216"/>
      <c r="AT2" s="2216"/>
      <c r="AU2" s="2216"/>
      <c r="AV2" s="2216"/>
      <c r="AW2" s="2216"/>
      <c r="AX2" s="2216"/>
      <c r="AY2" s="2216"/>
      <c r="AZ2" s="2216"/>
      <c r="BA2" s="2216"/>
      <c r="BB2" s="2217"/>
      <c r="BC2" s="1138"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BE2" s="428"/>
      <c r="BF2" s="428" t="str">
        <f t="shared" ref="BF2:BF8" si="0">IF(T2="","",T2)</f>
        <v>Наименование тарифа</v>
      </c>
      <c r="BG2" s="428"/>
      <c r="BH2" s="428"/>
    </row>
    <row r="3" spans="1:60" ht="21" hidden="1" customHeight="1">
      <c r="A3" s="1242"/>
      <c r="B3" s="1242"/>
      <c r="C3" s="1242"/>
      <c r="D3" s="1242"/>
      <c r="E3" s="2222"/>
      <c r="F3" s="2221">
        <v>1</v>
      </c>
      <c r="G3" s="1242"/>
      <c r="H3" s="1242"/>
      <c r="I3" s="1242"/>
      <c r="J3" s="1242"/>
      <c r="K3" s="1242"/>
      <c r="L3" s="1243"/>
      <c r="M3" s="1244"/>
      <c r="N3" s="1244"/>
      <c r="O3" s="1244"/>
      <c r="P3" s="1278"/>
      <c r="Q3" s="1279"/>
      <c r="R3" s="277"/>
      <c r="S3" s="1353" t="e">
        <f>INDEX(PT_DIFFERENTIATION_NUM_TER,MATCH(B3,PT_DIFFERENTIATION_TER_ID,0))</f>
        <v>#N/A</v>
      </c>
      <c r="T3" s="228" t="s">
        <v>1463</v>
      </c>
      <c r="U3" s="218"/>
      <c r="V3" s="2216"/>
      <c r="W3" s="2216"/>
      <c r="X3" s="2216"/>
      <c r="Y3" s="2216"/>
      <c r="Z3" s="2216"/>
      <c r="AA3" s="2216"/>
      <c r="AB3" s="2216"/>
      <c r="AC3" s="2217"/>
      <c r="AD3" s="2215" t="e">
        <f>INDEX(PT_DIFFERENTIATION_TER,MATCH(B3,PT_DIFFERENTIATION_TER_ID,0))</f>
        <v>#N/A</v>
      </c>
      <c r="AE3" s="2216"/>
      <c r="AF3" s="2216"/>
      <c r="AG3" s="2216"/>
      <c r="AH3" s="2216"/>
      <c r="AI3" s="2216"/>
      <c r="AJ3" s="2216"/>
      <c r="AK3" s="2216"/>
      <c r="AL3" s="2216"/>
      <c r="AM3" s="2216"/>
      <c r="AN3" s="2216"/>
      <c r="AO3" s="2216"/>
      <c r="AP3" s="2216"/>
      <c r="AQ3" s="2216"/>
      <c r="AR3" s="2216"/>
      <c r="AS3" s="2216"/>
      <c r="AT3" s="2216"/>
      <c r="AU3" s="2216"/>
      <c r="AV3" s="2216"/>
      <c r="AW3" s="2216"/>
      <c r="AX3" s="2216"/>
      <c r="AY3" s="2216"/>
      <c r="AZ3" s="2216"/>
      <c r="BA3" s="2216"/>
      <c r="BB3" s="2217"/>
      <c r="BC3" s="1138" t="s">
        <v>1464</v>
      </c>
      <c r="BE3" s="428"/>
      <c r="BF3" s="428" t="str">
        <f t="shared" si="0"/>
        <v>Территория действия тарифа</v>
      </c>
      <c r="BG3" s="428"/>
      <c r="BH3" s="428"/>
    </row>
    <row r="4" spans="1:60" ht="33.75" hidden="1" customHeight="1">
      <c r="A4" s="1242"/>
      <c r="B4" s="1242"/>
      <c r="C4" s="1242"/>
      <c r="D4" s="1242"/>
      <c r="E4" s="2222"/>
      <c r="F4" s="2222"/>
      <c r="G4" s="2221">
        <v>1</v>
      </c>
      <c r="H4" s="1242"/>
      <c r="I4" s="1242"/>
      <c r="J4" s="1242"/>
      <c r="K4" s="1242"/>
      <c r="L4" s="1243"/>
      <c r="M4" s="1244"/>
      <c r="N4" s="1244"/>
      <c r="O4" s="1244"/>
      <c r="P4" s="1280"/>
      <c r="Q4" s="1279"/>
      <c r="R4" s="277"/>
      <c r="S4" s="1353" t="e">
        <f>INDEX(PT_DIFFERENTIATION_NUM_CS,MATCH(C4,PT_DIFFERENTIATION_CS_ID,0))</f>
        <v>#N/A</v>
      </c>
      <c r="T4" s="229" t="s">
        <v>2089</v>
      </c>
      <c r="U4" s="218"/>
      <c r="V4" s="2216"/>
      <c r="W4" s="2216"/>
      <c r="X4" s="2216"/>
      <c r="Y4" s="2216"/>
      <c r="Z4" s="2216"/>
      <c r="AA4" s="2216"/>
      <c r="AB4" s="2216"/>
      <c r="AC4" s="2217"/>
      <c r="AD4" s="2215" t="e">
        <f>INDEX(PT_DIFFERENTIATION_CS,MATCH(C4,PT_DIFFERENTIATION_CS_ID,0))</f>
        <v>#N/A</v>
      </c>
      <c r="AE4" s="2216"/>
      <c r="AF4" s="2216"/>
      <c r="AG4" s="2216"/>
      <c r="AH4" s="2216"/>
      <c r="AI4" s="2216"/>
      <c r="AJ4" s="2216"/>
      <c r="AK4" s="2216"/>
      <c r="AL4" s="2216"/>
      <c r="AM4" s="2216"/>
      <c r="AN4" s="2216"/>
      <c r="AO4" s="2216"/>
      <c r="AP4" s="2216"/>
      <c r="AQ4" s="2216"/>
      <c r="AR4" s="2216"/>
      <c r="AS4" s="2216"/>
      <c r="AT4" s="2216"/>
      <c r="AU4" s="2216"/>
      <c r="AV4" s="2216"/>
      <c r="AW4" s="2216"/>
      <c r="AX4" s="2216"/>
      <c r="AY4" s="2216"/>
      <c r="AZ4" s="2216"/>
      <c r="BA4" s="2216"/>
      <c r="BB4" s="2217"/>
      <c r="BC4" s="1138" t="s">
        <v>2090</v>
      </c>
      <c r="BE4" s="428"/>
      <c r="BF4" s="428" t="str">
        <f t="shared" si="0"/>
        <v>Наименование централизованной системы горячего водоснабжения</v>
      </c>
      <c r="BG4" s="428"/>
      <c r="BH4" s="428"/>
    </row>
    <row r="5" spans="1:60" s="1755" customFormat="1" ht="14.25" hidden="1" customHeight="1">
      <c r="A5" s="1226"/>
      <c r="B5" s="1226"/>
      <c r="C5" s="1226"/>
      <c r="D5" s="1226"/>
      <c r="E5" s="2222"/>
      <c r="F5" s="2222"/>
      <c r="G5" s="2222"/>
      <c r="H5" s="2221">
        <v>1</v>
      </c>
      <c r="I5" s="1226"/>
      <c r="J5" s="1226"/>
      <c r="K5" s="1226"/>
      <c r="L5" s="1229"/>
      <c r="M5" s="1199"/>
      <c r="N5" s="1199"/>
      <c r="O5" s="1199"/>
      <c r="P5" s="1356"/>
      <c r="Q5" s="1357"/>
      <c r="R5" s="281"/>
      <c r="S5" s="932"/>
      <c r="T5" s="1358"/>
      <c r="U5" s="1262"/>
      <c r="V5" s="2250"/>
      <c r="W5" s="2250"/>
      <c r="X5" s="2250"/>
      <c r="Y5" s="2250"/>
      <c r="Z5" s="2250"/>
      <c r="AA5" s="2250"/>
      <c r="AB5" s="2250"/>
      <c r="AC5" s="2251"/>
      <c r="AD5" s="2249"/>
      <c r="AE5" s="2250"/>
      <c r="AF5" s="2250"/>
      <c r="AG5" s="2250"/>
      <c r="AH5" s="2250"/>
      <c r="AI5" s="2250"/>
      <c r="AJ5" s="2250"/>
      <c r="AK5" s="2250"/>
      <c r="AL5" s="2250"/>
      <c r="AM5" s="2250"/>
      <c r="AN5" s="2250"/>
      <c r="AO5" s="2250"/>
      <c r="AP5" s="2250"/>
      <c r="AQ5" s="2250"/>
      <c r="AR5" s="2250"/>
      <c r="AS5" s="2250"/>
      <c r="AT5" s="2250"/>
      <c r="AU5" s="2250"/>
      <c r="AV5" s="2250"/>
      <c r="AW5" s="2250"/>
      <c r="AX5" s="2250"/>
      <c r="AY5" s="2250"/>
      <c r="AZ5" s="2250"/>
      <c r="BA5" s="2250"/>
      <c r="BB5" s="2251"/>
      <c r="BC5" s="1263" t="s">
        <v>1468</v>
      </c>
      <c r="BE5" s="428"/>
      <c r="BF5" s="428" t="str">
        <f t="shared" si="0"/>
        <v/>
      </c>
      <c r="BG5" s="428"/>
      <c r="BH5" s="428"/>
    </row>
    <row r="6" spans="1:60" s="1755" customFormat="1" ht="14.25" hidden="1" customHeight="1">
      <c r="A6" s="1226"/>
      <c r="B6" s="1226"/>
      <c r="C6" s="1226"/>
      <c r="D6" s="1226"/>
      <c r="E6" s="2222"/>
      <c r="F6" s="2222"/>
      <c r="G6" s="2222"/>
      <c r="H6" s="2222"/>
      <c r="I6" s="2223" t="str">
        <f>S5&amp;".1"</f>
        <v>.1</v>
      </c>
      <c r="J6" s="1226"/>
      <c r="K6" s="1226"/>
      <c r="L6" s="1229" t="s">
        <v>1469</v>
      </c>
      <c r="M6" s="438"/>
      <c r="N6" s="438"/>
      <c r="O6" s="438"/>
      <c r="P6" s="2143">
        <v>1</v>
      </c>
      <c r="Q6" s="1341"/>
      <c r="R6" s="280"/>
      <c r="S6" s="932"/>
      <c r="T6" s="1261"/>
      <c r="U6" s="1262"/>
      <c r="V6" s="2250"/>
      <c r="W6" s="2250"/>
      <c r="X6" s="2250"/>
      <c r="Y6" s="2250"/>
      <c r="Z6" s="2250"/>
      <c r="AA6" s="2250"/>
      <c r="AB6" s="2250"/>
      <c r="AC6" s="2251"/>
      <c r="AD6" s="2249"/>
      <c r="AE6" s="2250"/>
      <c r="AF6" s="2250"/>
      <c r="AG6" s="2250"/>
      <c r="AH6" s="2250"/>
      <c r="AI6" s="2250"/>
      <c r="AJ6" s="2250"/>
      <c r="AK6" s="2250"/>
      <c r="AL6" s="2250"/>
      <c r="AM6" s="2250"/>
      <c r="AN6" s="2250"/>
      <c r="AO6" s="2250"/>
      <c r="AP6" s="2250"/>
      <c r="AQ6" s="2250"/>
      <c r="AR6" s="2250"/>
      <c r="AS6" s="2250"/>
      <c r="AT6" s="2250"/>
      <c r="AU6" s="2250"/>
      <c r="AV6" s="2250"/>
      <c r="AW6" s="2250"/>
      <c r="AX6" s="2250"/>
      <c r="AY6" s="2250"/>
      <c r="AZ6" s="2250"/>
      <c r="BA6" s="2250"/>
      <c r="BB6" s="2251"/>
      <c r="BC6" s="1263"/>
      <c r="BE6" s="428"/>
      <c r="BF6" s="428" t="str">
        <f t="shared" si="0"/>
        <v/>
      </c>
      <c r="BG6" s="428"/>
      <c r="BH6" s="428"/>
    </row>
    <row r="7" spans="1:60" s="1755" customFormat="1" ht="14.25" hidden="1" customHeight="1">
      <c r="A7" s="1226"/>
      <c r="B7" s="1226"/>
      <c r="C7" s="1226"/>
      <c r="D7" s="1226"/>
      <c r="E7" s="2222"/>
      <c r="F7" s="2222"/>
      <c r="G7" s="2222"/>
      <c r="H7" s="2222"/>
      <c r="I7" s="2224"/>
      <c r="J7" s="2223" t="str">
        <f>S5&amp;".1"</f>
        <v>.1</v>
      </c>
      <c r="K7" s="1226"/>
      <c r="L7" s="1229"/>
      <c r="M7" s="438"/>
      <c r="N7" s="438"/>
      <c r="O7" s="438"/>
      <c r="P7" s="2143"/>
      <c r="Q7" s="2143">
        <v>1</v>
      </c>
      <c r="R7" s="281"/>
      <c r="S7" s="932"/>
      <c r="T7" s="1271"/>
      <c r="U7" s="1262"/>
      <c r="V7" s="2250"/>
      <c r="W7" s="2250"/>
      <c r="X7" s="2250"/>
      <c r="Y7" s="2250"/>
      <c r="Z7" s="2250"/>
      <c r="AA7" s="2250"/>
      <c r="AB7" s="2250"/>
      <c r="AC7" s="2251"/>
      <c r="AD7" s="2249"/>
      <c r="AE7" s="2250"/>
      <c r="AF7" s="2250"/>
      <c r="AG7" s="2250"/>
      <c r="AH7" s="2250"/>
      <c r="AI7" s="2250"/>
      <c r="AJ7" s="2250"/>
      <c r="AK7" s="2250"/>
      <c r="AL7" s="2250"/>
      <c r="AM7" s="2250"/>
      <c r="AN7" s="2250"/>
      <c r="AO7" s="2250"/>
      <c r="AP7" s="2250"/>
      <c r="AQ7" s="2250"/>
      <c r="AR7" s="2250"/>
      <c r="AS7" s="2250"/>
      <c r="AT7" s="2250"/>
      <c r="AU7" s="2250"/>
      <c r="AV7" s="2250"/>
      <c r="AW7" s="2250"/>
      <c r="AX7" s="2250"/>
      <c r="AY7" s="2250"/>
      <c r="AZ7" s="2250"/>
      <c r="BA7" s="2250"/>
      <c r="BB7" s="2251"/>
      <c r="BC7" s="1263"/>
      <c r="BE7" s="428"/>
      <c r="BF7" s="428" t="str">
        <f t="shared" si="0"/>
        <v/>
      </c>
      <c r="BG7" s="428"/>
      <c r="BH7" s="428"/>
    </row>
    <row r="8" spans="1:60" ht="11.25" hidden="1" customHeight="1">
      <c r="A8" s="1242"/>
      <c r="B8" s="1242"/>
      <c r="C8" s="1242"/>
      <c r="D8" s="1242"/>
      <c r="E8" s="2222"/>
      <c r="F8" s="2222"/>
      <c r="G8" s="2222"/>
      <c r="H8" s="2222"/>
      <c r="I8" s="2224"/>
      <c r="J8" s="2224"/>
      <c r="K8" s="2223" t="e">
        <f>S4&amp;".1"</f>
        <v>#N/A</v>
      </c>
      <c r="L8" s="1243"/>
      <c r="P8" s="2143"/>
      <c r="Q8" s="2143"/>
      <c r="R8" s="2275">
        <v>1</v>
      </c>
      <c r="S8" s="2272" t="e">
        <f>$K8</f>
        <v>#N/A</v>
      </c>
      <c r="T8" s="2322"/>
      <c r="U8" s="218"/>
      <c r="V8" s="1664"/>
      <c r="W8" s="1666"/>
      <c r="X8" s="1664"/>
      <c r="Y8" s="1666"/>
      <c r="Z8" s="1591"/>
      <c r="AA8" s="1330" t="s">
        <v>62</v>
      </c>
      <c r="AB8" s="1591"/>
      <c r="AC8" s="1330" t="s">
        <v>62</v>
      </c>
      <c r="AD8" s="2079" t="s">
        <v>62</v>
      </c>
      <c r="AE8" s="2268"/>
      <c r="AF8" s="2267">
        <v>1</v>
      </c>
      <c r="AG8" s="2321"/>
      <c r="AH8" s="2017" t="s">
        <v>62</v>
      </c>
      <c r="AI8" s="2268"/>
      <c r="AJ8" s="2267">
        <v>1</v>
      </c>
      <c r="AK8" s="2320" t="s">
        <v>17</v>
      </c>
      <c r="AL8" s="2017" t="s">
        <v>62</v>
      </c>
      <c r="AM8" s="2067"/>
      <c r="AN8" s="2267">
        <v>1</v>
      </c>
      <c r="AO8" s="2325"/>
      <c r="AP8" s="2326" t="s">
        <v>62</v>
      </c>
      <c r="AQ8" s="231"/>
      <c r="AR8" s="1346">
        <v>1</v>
      </c>
      <c r="AS8" s="1352" t="s">
        <v>17</v>
      </c>
      <c r="AT8" s="1664"/>
      <c r="AU8" s="1666"/>
      <c r="AV8" s="1664"/>
      <c r="AW8" s="1666"/>
      <c r="AX8" s="1591"/>
      <c r="AY8" s="1330" t="s">
        <v>62</v>
      </c>
      <c r="AZ8" s="1591"/>
      <c r="BA8" s="1330" t="s">
        <v>62</v>
      </c>
      <c r="BB8" s="1672"/>
      <c r="BC8" s="2243" t="s">
        <v>1698</v>
      </c>
      <c r="BE8" s="428"/>
      <c r="BF8" s="428" t="str">
        <f t="shared" si="0"/>
        <v/>
      </c>
      <c r="BG8" s="428"/>
      <c r="BH8" s="428"/>
    </row>
    <row r="9" spans="1:60" ht="11.25" hidden="1" customHeight="1">
      <c r="A9" s="1242"/>
      <c r="B9" s="1242"/>
      <c r="C9" s="1242"/>
      <c r="D9" s="1242"/>
      <c r="E9" s="2222"/>
      <c r="F9" s="2222"/>
      <c r="G9" s="2222"/>
      <c r="H9" s="2222"/>
      <c r="I9" s="2224"/>
      <c r="J9" s="2224"/>
      <c r="K9" s="2223"/>
      <c r="L9" s="1243"/>
      <c r="P9" s="2143"/>
      <c r="Q9" s="2143"/>
      <c r="R9" s="2275"/>
      <c r="S9" s="2273"/>
      <c r="T9" s="2323"/>
      <c r="U9" s="218"/>
      <c r="V9" s="1680"/>
      <c r="W9" s="1686"/>
      <c r="X9" s="1680"/>
      <c r="Y9" s="1686"/>
      <c r="Z9" s="1680"/>
      <c r="AA9" s="1680"/>
      <c r="AB9" s="1680"/>
      <c r="AC9" s="1680"/>
      <c r="AD9" s="2080"/>
      <c r="AE9" s="2268"/>
      <c r="AF9" s="2267"/>
      <c r="AG9" s="2321"/>
      <c r="AH9" s="2017"/>
      <c r="AI9" s="2268"/>
      <c r="AJ9" s="2267"/>
      <c r="AK9" s="2320"/>
      <c r="AL9" s="2017"/>
      <c r="AM9" s="2072"/>
      <c r="AN9" s="2267"/>
      <c r="AO9" s="2325"/>
      <c r="AP9" s="2327"/>
      <c r="AQ9" s="238"/>
      <c r="AR9" s="351"/>
      <c r="AS9" s="351" t="s">
        <v>1699</v>
      </c>
      <c r="AT9" s="1680"/>
      <c r="AU9" s="1686"/>
      <c r="AV9" s="1680"/>
      <c r="AW9" s="1686"/>
      <c r="AX9" s="1680"/>
      <c r="AY9" s="1680"/>
      <c r="AZ9" s="1680"/>
      <c r="BA9" s="1680"/>
      <c r="BB9" s="1685"/>
      <c r="BC9" s="2244"/>
      <c r="BE9" s="428"/>
      <c r="BF9" s="428"/>
      <c r="BG9" s="428"/>
      <c r="BH9" s="428"/>
    </row>
    <row r="10" spans="1:60" ht="11.25" hidden="1" customHeight="1">
      <c r="A10" s="1242"/>
      <c r="B10" s="1242"/>
      <c r="C10" s="1242"/>
      <c r="D10" s="1242"/>
      <c r="E10" s="2222"/>
      <c r="F10" s="2222"/>
      <c r="G10" s="2222"/>
      <c r="H10" s="2222"/>
      <c r="I10" s="2224"/>
      <c r="J10" s="2224"/>
      <c r="K10" s="2223"/>
      <c r="L10" s="1243"/>
      <c r="P10" s="2143"/>
      <c r="Q10" s="2143"/>
      <c r="R10" s="2275"/>
      <c r="S10" s="2273"/>
      <c r="T10" s="2323"/>
      <c r="U10" s="218"/>
      <c r="V10" s="1680"/>
      <c r="W10" s="1686"/>
      <c r="X10" s="1680"/>
      <c r="Y10" s="1686"/>
      <c r="Z10" s="1680"/>
      <c r="AA10" s="1680"/>
      <c r="AB10" s="1680"/>
      <c r="AC10" s="1680"/>
      <c r="AD10" s="2080"/>
      <c r="AE10" s="2268"/>
      <c r="AF10" s="2267"/>
      <c r="AG10" s="2321"/>
      <c r="AH10" s="2017"/>
      <c r="AI10" s="2268"/>
      <c r="AJ10" s="2267"/>
      <c r="AK10" s="2320"/>
      <c r="AL10" s="2017"/>
      <c r="AM10" s="238"/>
      <c r="AN10" s="1359"/>
      <c r="AO10" s="1359" t="s">
        <v>1700</v>
      </c>
      <c r="AP10" s="351"/>
      <c r="AQ10" s="351"/>
      <c r="AR10" s="351"/>
      <c r="AS10" s="1680"/>
      <c r="AT10" s="1680"/>
      <c r="AU10" s="1686"/>
      <c r="AV10" s="1680"/>
      <c r="AW10" s="1686"/>
      <c r="AX10" s="1680"/>
      <c r="AY10" s="1680"/>
      <c r="AZ10" s="1680"/>
      <c r="BA10" s="1680"/>
      <c r="BB10" s="1685"/>
      <c r="BC10" s="2244"/>
      <c r="BE10" s="428"/>
      <c r="BF10" s="428"/>
      <c r="BG10" s="428"/>
      <c r="BH10" s="428"/>
    </row>
    <row r="11" spans="1:60" ht="11.25" hidden="1" customHeight="1">
      <c r="A11" s="1242"/>
      <c r="B11" s="1242"/>
      <c r="C11" s="1242"/>
      <c r="D11" s="1242"/>
      <c r="E11" s="2222"/>
      <c r="F11" s="2222"/>
      <c r="G11" s="2222"/>
      <c r="H11" s="2222"/>
      <c r="I11" s="2224"/>
      <c r="J11" s="2224"/>
      <c r="K11" s="2223"/>
      <c r="L11" s="1243"/>
      <c r="P11" s="2143"/>
      <c r="Q11" s="2143"/>
      <c r="R11" s="2275"/>
      <c r="S11" s="2273"/>
      <c r="T11" s="2323"/>
      <c r="U11" s="218"/>
      <c r="V11" s="1680"/>
      <c r="W11" s="1686"/>
      <c r="X11" s="1680"/>
      <c r="Y11" s="1686"/>
      <c r="Z11" s="1680"/>
      <c r="AA11" s="1680"/>
      <c r="AB11" s="1680"/>
      <c r="AC11" s="1680"/>
      <c r="AD11" s="2080"/>
      <c r="AE11" s="2268"/>
      <c r="AF11" s="2267"/>
      <c r="AG11" s="2321"/>
      <c r="AH11" s="2017"/>
      <c r="AI11" s="212"/>
      <c r="AJ11" s="350"/>
      <c r="AK11" s="233" t="s">
        <v>1701</v>
      </c>
      <c r="AL11" s="1680"/>
      <c r="AM11" s="1680"/>
      <c r="AN11" s="1680"/>
      <c r="AO11" s="1680"/>
      <c r="AP11" s="1680"/>
      <c r="AQ11" s="1680"/>
      <c r="AR11" s="1680"/>
      <c r="AS11" s="1680"/>
      <c r="AT11" s="1680"/>
      <c r="AU11" s="1686"/>
      <c r="AV11" s="1680"/>
      <c r="AW11" s="1686"/>
      <c r="AX11" s="1680"/>
      <c r="AY11" s="1680"/>
      <c r="AZ11" s="1680"/>
      <c r="BA11" s="1680"/>
      <c r="BB11" s="1685"/>
      <c r="BC11" s="2244"/>
      <c r="BE11" s="428"/>
      <c r="BF11" s="428"/>
      <c r="BG11" s="428"/>
      <c r="BH11" s="428"/>
    </row>
    <row r="12" spans="1:60" ht="11.25" hidden="1" customHeight="1">
      <c r="A12" s="1242"/>
      <c r="B12" s="1242"/>
      <c r="C12" s="1242"/>
      <c r="D12" s="1242"/>
      <c r="E12" s="2222"/>
      <c r="F12" s="2222"/>
      <c r="G12" s="2222"/>
      <c r="H12" s="2222"/>
      <c r="I12" s="2224"/>
      <c r="J12" s="2224"/>
      <c r="K12" s="2223"/>
      <c r="L12" s="1243"/>
      <c r="P12" s="2143"/>
      <c r="Q12" s="2143"/>
      <c r="R12" s="2275"/>
      <c r="S12" s="2274"/>
      <c r="T12" s="2324"/>
      <c r="U12" s="218"/>
      <c r="V12" s="1680"/>
      <c r="W12" s="1681" t="str">
        <f>Z8&amp;"-"&amp;AB8</f>
        <v>-</v>
      </c>
      <c r="X12" s="1680"/>
      <c r="Y12" s="1681" t="str">
        <f>AB8&amp;"-"&amp;AD8</f>
        <v>-да</v>
      </c>
      <c r="Z12" s="1680"/>
      <c r="AA12" s="1680"/>
      <c r="AB12" s="1680"/>
      <c r="AC12" s="1680"/>
      <c r="AD12" s="2022"/>
      <c r="AE12" s="232"/>
      <c r="AF12" s="234"/>
      <c r="AG12" s="351" t="s">
        <v>1702</v>
      </c>
      <c r="AH12" s="1680"/>
      <c r="AI12" s="1680"/>
      <c r="AJ12" s="1680"/>
      <c r="AK12" s="1680"/>
      <c r="AL12" s="1680"/>
      <c r="AM12" s="1680"/>
      <c r="AN12" s="1680"/>
      <c r="AO12" s="1680"/>
      <c r="AP12" s="1680"/>
      <c r="AQ12" s="1680"/>
      <c r="AR12" s="1680"/>
      <c r="AS12" s="1680"/>
      <c r="AT12" s="1680"/>
      <c r="AU12" s="1681" t="str">
        <f>AX8&amp;"-"&amp;AZ8</f>
        <v>-</v>
      </c>
      <c r="AV12" s="1680"/>
      <c r="AW12" s="1681" t="str">
        <f>AZ8&amp;"-"&amp;BB8</f>
        <v>-</v>
      </c>
      <c r="AX12" s="1680"/>
      <c r="AY12" s="1680"/>
      <c r="AZ12" s="1680"/>
      <c r="BA12" s="1680"/>
      <c r="BB12" s="1688" t="str">
        <f>BE8&amp;"-"&amp;BG8</f>
        <v>-</v>
      </c>
      <c r="BC12" s="2244"/>
      <c r="BE12" s="428"/>
      <c r="BF12" s="428" t="str">
        <f t="shared" ref="BF12:BF18" si="1">IF(T12="","",T12)</f>
        <v/>
      </c>
      <c r="BG12" s="428"/>
      <c r="BH12" s="428"/>
    </row>
    <row r="13" spans="1:60" ht="11.25" hidden="1" customHeight="1">
      <c r="A13" s="1242"/>
      <c r="B13" s="1242"/>
      <c r="C13" s="1242"/>
      <c r="D13" s="1242"/>
      <c r="E13" s="2222"/>
      <c r="F13" s="2222"/>
      <c r="G13" s="2222"/>
      <c r="H13" s="2222"/>
      <c r="I13" s="2224"/>
      <c r="J13" s="2223"/>
      <c r="K13" s="1242"/>
      <c r="L13" s="1243"/>
      <c r="P13" s="2143"/>
      <c r="Q13" s="2143"/>
      <c r="R13" s="280"/>
      <c r="S13" s="1159"/>
      <c r="T13" s="205" t="s">
        <v>1543</v>
      </c>
      <c r="U13" s="294"/>
      <c r="V13" s="294"/>
      <c r="W13" s="294"/>
      <c r="X13" s="294"/>
      <c r="Y13" s="294"/>
      <c r="Z13" s="294"/>
      <c r="AA13" s="294"/>
      <c r="AB13" s="294"/>
      <c r="AC13" s="294"/>
      <c r="AD13" s="1364"/>
      <c r="AE13" s="294"/>
      <c r="AF13" s="294"/>
      <c r="AG13" s="294"/>
      <c r="AH13" s="294"/>
      <c r="AI13" s="294"/>
      <c r="AJ13" s="294"/>
      <c r="AK13" s="294"/>
      <c r="AL13" s="294"/>
      <c r="AM13" s="294"/>
      <c r="AN13" s="294"/>
      <c r="AO13" s="294"/>
      <c r="AP13" s="294"/>
      <c r="AQ13" s="294"/>
      <c r="AR13" s="294"/>
      <c r="AS13" s="294"/>
      <c r="AT13" s="294"/>
      <c r="AU13" s="294"/>
      <c r="AV13" s="294"/>
      <c r="AW13" s="294"/>
      <c r="AX13" s="294"/>
      <c r="AY13" s="294"/>
      <c r="AZ13" s="294"/>
      <c r="BA13" s="294"/>
      <c r="BB13" s="251"/>
      <c r="BC13" s="2245"/>
      <c r="BE13" s="428"/>
      <c r="BF13" s="428" t="str">
        <f t="shared" si="1"/>
        <v>Добавить строку</v>
      </c>
      <c r="BG13" s="428"/>
      <c r="BH13" s="428"/>
    </row>
    <row r="14" spans="1:60" s="1755" customFormat="1" ht="14.25" hidden="1" customHeight="1">
      <c r="A14" s="1226"/>
      <c r="B14" s="1226"/>
      <c r="C14" s="1226"/>
      <c r="D14" s="1226"/>
      <c r="E14" s="2222"/>
      <c r="F14" s="2222"/>
      <c r="G14" s="2222"/>
      <c r="H14" s="2222"/>
      <c r="I14" s="2223"/>
      <c r="J14" s="1226"/>
      <c r="K14" s="1226"/>
      <c r="L14" s="1229"/>
      <c r="M14" s="438"/>
      <c r="N14" s="438"/>
      <c r="O14" s="438"/>
      <c r="P14" s="2143"/>
      <c r="Q14" s="1341"/>
      <c r="R14" s="280"/>
      <c r="S14" s="1264"/>
      <c r="T14" s="1265"/>
      <c r="U14" s="1266"/>
      <c r="V14" s="1266"/>
      <c r="W14" s="1266"/>
      <c r="X14" s="1266"/>
      <c r="Y14" s="1266"/>
      <c r="Z14" s="1266"/>
      <c r="AA14" s="1266"/>
      <c r="AB14" s="1266"/>
      <c r="AC14" s="1266"/>
      <c r="AD14" s="1266"/>
      <c r="AE14" s="1266"/>
      <c r="AF14" s="1266"/>
      <c r="AG14" s="1266"/>
      <c r="AH14" s="1266"/>
      <c r="AI14" s="1266"/>
      <c r="AJ14" s="1266"/>
      <c r="AK14" s="1266"/>
      <c r="AL14" s="1266"/>
      <c r="AM14" s="1266"/>
      <c r="AN14" s="1266"/>
      <c r="AO14" s="1266"/>
      <c r="AP14" s="1266"/>
      <c r="AQ14" s="1266"/>
      <c r="AR14" s="1266"/>
      <c r="AS14" s="1266"/>
      <c r="AT14" s="1266"/>
      <c r="AU14" s="1266"/>
      <c r="AV14" s="1266"/>
      <c r="AW14" s="1266"/>
      <c r="AX14" s="1266"/>
      <c r="AY14" s="1266"/>
      <c r="AZ14" s="1266"/>
      <c r="BA14" s="1266"/>
      <c r="BB14" s="1266"/>
      <c r="BC14" s="1267"/>
      <c r="BE14" s="428"/>
      <c r="BF14" s="428" t="str">
        <f t="shared" si="1"/>
        <v/>
      </c>
      <c r="BG14" s="428"/>
      <c r="BH14" s="428"/>
    </row>
    <row r="15" spans="1:60" s="1755" customFormat="1" ht="14.25" hidden="1" customHeight="1">
      <c r="A15" s="1226"/>
      <c r="B15" s="1226"/>
      <c r="C15" s="1226"/>
      <c r="D15" s="1226"/>
      <c r="E15" s="2222"/>
      <c r="F15" s="2222"/>
      <c r="G15" s="2222"/>
      <c r="H15" s="2221"/>
      <c r="I15" s="1226"/>
      <c r="J15" s="1226"/>
      <c r="K15" s="1226"/>
      <c r="L15" s="1229"/>
      <c r="M15" s="1199"/>
      <c r="N15" s="1199"/>
      <c r="O15" s="446"/>
      <c r="P15" s="311"/>
      <c r="Q15" s="1227"/>
      <c r="R15" s="1273"/>
      <c r="S15" s="1264"/>
      <c r="T15" s="1265"/>
      <c r="U15" s="1266"/>
      <c r="V15" s="1266"/>
      <c r="W15" s="1266"/>
      <c r="X15" s="1266"/>
      <c r="Y15" s="1266"/>
      <c r="Z15" s="1266"/>
      <c r="AA15" s="1266"/>
      <c r="AB15" s="1266"/>
      <c r="AC15" s="1266"/>
      <c r="AD15" s="1266"/>
      <c r="AE15" s="1266"/>
      <c r="AF15" s="1266"/>
      <c r="AG15" s="1266"/>
      <c r="AH15" s="1266"/>
      <c r="AI15" s="1266"/>
      <c r="AJ15" s="1266"/>
      <c r="AK15" s="1266"/>
      <c r="AL15" s="1266"/>
      <c r="AM15" s="1266"/>
      <c r="AN15" s="1266"/>
      <c r="AO15" s="1266"/>
      <c r="AP15" s="1266"/>
      <c r="AQ15" s="1266"/>
      <c r="AR15" s="1266"/>
      <c r="AS15" s="1266"/>
      <c r="AT15" s="1266"/>
      <c r="AU15" s="1266"/>
      <c r="AV15" s="1266"/>
      <c r="AW15" s="1266"/>
      <c r="AX15" s="1266"/>
      <c r="AY15" s="1266"/>
      <c r="AZ15" s="1266"/>
      <c r="BA15" s="1266"/>
      <c r="BB15" s="1266"/>
      <c r="BC15" s="1267"/>
      <c r="BE15" s="428"/>
      <c r="BF15" s="428" t="str">
        <f t="shared" si="1"/>
        <v/>
      </c>
      <c r="BG15" s="428"/>
      <c r="BH15" s="428"/>
    </row>
    <row r="16" spans="1:60" s="1755" customFormat="1" ht="14.25" hidden="1" customHeight="1">
      <c r="A16" s="1226"/>
      <c r="B16" s="1226"/>
      <c r="C16" s="1226"/>
      <c r="D16" s="1198"/>
      <c r="E16" s="2222"/>
      <c r="F16" s="2222"/>
      <c r="G16" s="2221"/>
      <c r="H16" s="1198"/>
      <c r="I16" s="1198"/>
      <c r="J16" s="1198"/>
      <c r="K16" s="1198"/>
      <c r="L16" s="1354"/>
      <c r="M16" s="1199"/>
      <c r="N16" s="1199"/>
      <c r="P16" s="1200"/>
      <c r="Q16" s="1201"/>
      <c r="R16" s="1200"/>
      <c r="S16" s="1206"/>
      <c r="T16" s="1209"/>
      <c r="U16" s="1208"/>
      <c r="V16" s="1208"/>
      <c r="W16" s="1208"/>
      <c r="X16" s="1208"/>
      <c r="Y16" s="1208"/>
      <c r="Z16" s="1208"/>
      <c r="AA16" s="1208"/>
      <c r="AB16" s="1208"/>
      <c r="AC16" s="1208"/>
      <c r="AD16" s="1208"/>
      <c r="AE16" s="1208"/>
      <c r="AF16" s="1208"/>
      <c r="AG16" s="1208"/>
      <c r="AH16" s="1208"/>
      <c r="AI16" s="1208"/>
      <c r="AJ16" s="1208"/>
      <c r="AK16" s="1208"/>
      <c r="AL16" s="1208"/>
      <c r="AM16" s="1208"/>
      <c r="AN16" s="1208"/>
      <c r="AO16" s="1208"/>
      <c r="AP16" s="1208"/>
      <c r="AQ16" s="1208"/>
      <c r="AR16" s="1208"/>
      <c r="AS16" s="1208"/>
      <c r="AT16" s="1208"/>
      <c r="AU16" s="1208"/>
      <c r="AV16" s="1208"/>
      <c r="AW16" s="1208"/>
      <c r="AX16" s="1208"/>
      <c r="AY16" s="1208"/>
      <c r="AZ16" s="1208"/>
      <c r="BA16" s="1208"/>
      <c r="BB16" s="1208"/>
      <c r="BC16" s="1208"/>
      <c r="BE16" s="695"/>
      <c r="BF16" s="695" t="str">
        <f t="shared" si="1"/>
        <v/>
      </c>
      <c r="BG16" s="695"/>
      <c r="BH16" s="695"/>
    </row>
    <row r="17" spans="1:60" s="1755" customFormat="1" ht="14.25" hidden="1" customHeight="1">
      <c r="A17" s="1226"/>
      <c r="B17" s="1226"/>
      <c r="C17" s="1198"/>
      <c r="D17" s="1198"/>
      <c r="E17" s="2222"/>
      <c r="F17" s="2221"/>
      <c r="G17" s="1198"/>
      <c r="H17" s="1198"/>
      <c r="I17" s="1198"/>
      <c r="J17" s="1198"/>
      <c r="K17" s="1198"/>
      <c r="L17" s="1354"/>
      <c r="M17" s="1205"/>
      <c r="N17" s="1205"/>
      <c r="P17" s="1200"/>
      <c r="Q17" s="1201"/>
      <c r="R17" s="1200"/>
      <c r="S17" s="1206"/>
      <c r="T17" s="1209" t="s">
        <v>1439</v>
      </c>
      <c r="U17" s="1208"/>
      <c r="V17" s="1208"/>
      <c r="W17" s="1208"/>
      <c r="X17" s="1208"/>
      <c r="Y17" s="1208"/>
      <c r="Z17" s="1208"/>
      <c r="AA17" s="1208"/>
      <c r="AB17" s="1208"/>
      <c r="AC17" s="1208"/>
      <c r="AD17" s="1208"/>
      <c r="AE17" s="1208"/>
      <c r="AF17" s="1208"/>
      <c r="AG17" s="1208"/>
      <c r="AH17" s="1208"/>
      <c r="AI17" s="1208"/>
      <c r="AJ17" s="1208"/>
      <c r="AK17" s="1208"/>
      <c r="AL17" s="1208"/>
      <c r="AM17" s="1208"/>
      <c r="AN17" s="1208"/>
      <c r="AO17" s="1208"/>
      <c r="AP17" s="1208"/>
      <c r="AQ17" s="1208"/>
      <c r="AR17" s="1208"/>
      <c r="AS17" s="1208"/>
      <c r="AT17" s="1208"/>
      <c r="AU17" s="1208"/>
      <c r="AV17" s="1208"/>
      <c r="AW17" s="1208"/>
      <c r="AX17" s="1208"/>
      <c r="AY17" s="1208"/>
      <c r="AZ17" s="1208"/>
      <c r="BA17" s="1208"/>
      <c r="BB17" s="1208"/>
      <c r="BC17" s="1208"/>
      <c r="BE17" s="695"/>
      <c r="BF17" s="695" t="str">
        <f t="shared" si="1"/>
        <v>Добавить централизованную систему для дифференциации</v>
      </c>
      <c r="BG17" s="695"/>
      <c r="BH17" s="695"/>
    </row>
    <row r="18" spans="1:60" s="1755" customFormat="1" ht="14.25" hidden="1" customHeight="1">
      <c r="A18" s="1226"/>
      <c r="B18" s="1226"/>
      <c r="C18" s="1226"/>
      <c r="D18" s="1226"/>
      <c r="E18" s="2221"/>
      <c r="F18" s="1226"/>
      <c r="G18" s="1226"/>
      <c r="H18" s="1226"/>
      <c r="I18" s="1226"/>
      <c r="J18" s="1226"/>
      <c r="K18" s="1226"/>
      <c r="L18" s="1229"/>
      <c r="M18" s="1205"/>
      <c r="N18" s="1205"/>
      <c r="O18" s="446"/>
      <c r="P18" s="311"/>
      <c r="Q18" s="1227"/>
      <c r="R18" s="311"/>
      <c r="S18" s="1206"/>
      <c r="T18" s="1209" t="s">
        <v>1440</v>
      </c>
      <c r="U18" s="1208"/>
      <c r="V18" s="1208"/>
      <c r="W18" s="1208"/>
      <c r="X18" s="1208"/>
      <c r="Y18" s="1208"/>
      <c r="Z18" s="1208"/>
      <c r="AA18" s="1208"/>
      <c r="AB18" s="1208"/>
      <c r="AC18" s="1208"/>
      <c r="AD18" s="1208"/>
      <c r="AE18" s="1208"/>
      <c r="AF18" s="1208"/>
      <c r="AG18" s="1208"/>
      <c r="AH18" s="1208"/>
      <c r="AI18" s="1208"/>
      <c r="AJ18" s="1208"/>
      <c r="AK18" s="1208"/>
      <c r="AL18" s="1208"/>
      <c r="AM18" s="1208"/>
      <c r="AN18" s="1208"/>
      <c r="AO18" s="1208"/>
      <c r="AP18" s="1208"/>
      <c r="AQ18" s="1208"/>
      <c r="AR18" s="1208"/>
      <c r="AS18" s="1208"/>
      <c r="AT18" s="1208"/>
      <c r="AU18" s="1208"/>
      <c r="AV18" s="1208"/>
      <c r="AW18" s="1208"/>
      <c r="AX18" s="1208"/>
      <c r="AY18" s="1208"/>
      <c r="AZ18" s="1208"/>
      <c r="BA18" s="1208"/>
      <c r="BB18" s="1208"/>
      <c r="BC18" s="1208"/>
      <c r="BE18" s="428"/>
      <c r="BF18" s="428" t="str">
        <f t="shared" si="1"/>
        <v>Добавить территорию для дифференциации</v>
      </c>
      <c r="BG18" s="428"/>
      <c r="BH18" s="428"/>
    </row>
    <row r="19" spans="1:60" ht="14.25" hidden="1" customHeight="1">
      <c r="AC19" s="254"/>
      <c r="BA19" s="254"/>
    </row>
    <row r="20" spans="1:60" ht="14.25" hidden="1" customHeight="1">
      <c r="AD20" s="1208" t="s">
        <v>55</v>
      </c>
      <c r="AE20" s="1360"/>
      <c r="AF20" s="475">
        <v>1</v>
      </c>
      <c r="AG20" s="1361"/>
      <c r="AH20" s="1208" t="s">
        <v>55</v>
      </c>
      <c r="AI20" s="1360"/>
      <c r="AJ20" s="475">
        <v>1</v>
      </c>
      <c r="AK20" s="1361"/>
      <c r="AL20" s="1208" t="s">
        <v>55</v>
      </c>
      <c r="AM20" s="1362"/>
      <c r="AN20" s="475">
        <v>1</v>
      </c>
      <c r="AO20" s="1363"/>
      <c r="AP20" s="1208" t="s">
        <v>55</v>
      </c>
      <c r="AQ20" s="1362"/>
      <c r="AR20" s="475">
        <v>1</v>
      </c>
      <c r="AS20" s="1363"/>
      <c r="AT20" s="1665"/>
      <c r="AU20" s="1675"/>
      <c r="AV20" s="1665"/>
      <c r="AW20" s="1675"/>
      <c r="AX20" s="1593"/>
      <c r="AY20" s="1345" t="s">
        <v>62</v>
      </c>
      <c r="AZ20" s="1593"/>
      <c r="BA20" s="1345" t="s">
        <v>62</v>
      </c>
    </row>
    <row r="21" spans="1:60" ht="14.25" hidden="1" customHeight="1">
      <c r="BD21" s="424"/>
      <c r="BE21" s="424"/>
      <c r="BF21" s="424"/>
      <c r="BG21" s="424"/>
      <c r="BH21" s="424"/>
    </row>
    <row r="22" spans="1:60" ht="14.25" hidden="1" customHeight="1">
      <c r="O22" s="1246" t="s">
        <v>1480</v>
      </c>
      <c r="Z22" s="1228"/>
      <c r="AB22" s="1228"/>
      <c r="AC22" s="254"/>
      <c r="AX22" s="1228"/>
      <c r="AZ22" s="1228"/>
      <c r="BA22" s="254"/>
      <c r="BD22" s="424"/>
      <c r="BE22" s="424"/>
      <c r="BF22" s="424"/>
      <c r="BG22" s="424"/>
      <c r="BH22" s="424"/>
    </row>
    <row r="23" spans="1:60" ht="14.25" hidden="1" customHeight="1">
      <c r="AC23" s="254"/>
      <c r="BA23" s="254"/>
      <c r="BD23" s="424"/>
      <c r="BE23" s="424"/>
      <c r="BF23" s="424"/>
      <c r="BG23" s="424"/>
      <c r="BH23" s="424"/>
    </row>
    <row r="24" spans="1:60" s="1691" customFormat="1" ht="14.25" hidden="1" customHeight="1">
      <c r="M24" s="1367"/>
      <c r="N24" s="1367"/>
      <c r="O24" s="1368" t="s">
        <v>1481</v>
      </c>
      <c r="P24" s="1367"/>
      <c r="Q24" s="1369"/>
      <c r="R24" s="1369"/>
      <c r="AA24" s="1366" t="s">
        <v>1483</v>
      </c>
      <c r="AC24" s="1366" t="s">
        <v>1484</v>
      </c>
      <c r="AD24" s="1366" t="s">
        <v>1544</v>
      </c>
      <c r="AH24" s="1366" t="s">
        <v>1544</v>
      </c>
      <c r="AK24" s="1366" t="s">
        <v>1703</v>
      </c>
      <c r="AL24" s="1366" t="s">
        <v>1544</v>
      </c>
      <c r="AP24" s="1366" t="s">
        <v>1544</v>
      </c>
      <c r="AY24" s="1366" t="s">
        <v>1483</v>
      </c>
      <c r="BA24" s="1366" t="s">
        <v>1484</v>
      </c>
      <c r="BD24" s="1370"/>
      <c r="BE24" s="1370"/>
      <c r="BF24" s="1370"/>
      <c r="BG24" s="1370"/>
      <c r="BH24" s="1370"/>
    </row>
    <row r="25" spans="1:60" ht="14.25" hidden="1" customHeight="1">
      <c r="O25" s="1243"/>
      <c r="BD25" s="424"/>
      <c r="BE25" s="424"/>
      <c r="BF25" s="424"/>
      <c r="BG25" s="424"/>
      <c r="BH25" s="424"/>
    </row>
    <row r="26" spans="1:60" ht="14.25" hidden="1" customHeight="1">
      <c r="O26" s="1243"/>
      <c r="BD26" s="424"/>
      <c r="BE26" s="424"/>
      <c r="BF26" s="424"/>
      <c r="BG26" s="424"/>
      <c r="BH26" s="424"/>
    </row>
    <row r="27" spans="1:60" ht="14.25" customHeight="1">
      <c r="Q27" s="209"/>
      <c r="R27" s="304"/>
      <c r="S27" s="1156"/>
      <c r="T27" s="289"/>
      <c r="U27" s="289"/>
      <c r="V27" s="437"/>
      <c r="W27" s="437"/>
      <c r="X27" s="437"/>
      <c r="Y27" s="437"/>
      <c r="Z27" s="437"/>
      <c r="AA27" s="437"/>
      <c r="AB27" s="437"/>
      <c r="AC27" s="437"/>
      <c r="AD27" s="437"/>
      <c r="AE27" s="437"/>
      <c r="AF27" s="437"/>
      <c r="AG27" s="437"/>
      <c r="AH27" s="437"/>
      <c r="AI27" s="437"/>
      <c r="AJ27" s="437"/>
      <c r="AK27" s="437"/>
      <c r="AL27" s="437"/>
      <c r="AM27" s="437"/>
      <c r="AN27" s="437"/>
      <c r="AO27" s="437"/>
      <c r="AP27" s="437"/>
      <c r="AQ27" s="437"/>
      <c r="AR27" s="437"/>
      <c r="AS27" s="437"/>
      <c r="AT27" s="437"/>
      <c r="AU27" s="437"/>
      <c r="AV27" s="437"/>
      <c r="AW27" s="437"/>
      <c r="AX27" s="437"/>
      <c r="AY27" s="437"/>
      <c r="AZ27" s="437"/>
      <c r="BA27" s="437"/>
    </row>
    <row r="28" spans="1:60" ht="33.75" customHeight="1">
      <c r="Q28" s="209"/>
      <c r="R28" s="304"/>
      <c r="S28" s="2065" t="str">
        <f>IF(TEMPLATE_GROUP="P",PT_P_FORM_HOTVSNA_5_NAME_FORM,PT_R_FORM_HOTVSNA_17_NAME_FORM)</f>
        <v>Форма 17. Информация о предложении расчетной величины тарифов на подключение (технологическое присоединение) к централизованной системе горячего водоснабжения &lt;1&gt;</v>
      </c>
      <c r="T28" s="2065"/>
      <c r="U28" s="2065"/>
      <c r="V28" s="2065"/>
      <c r="W28" s="2065"/>
      <c r="X28" s="2065"/>
      <c r="Y28" s="2065"/>
      <c r="Z28" s="2065"/>
      <c r="AA28" s="2065"/>
      <c r="AB28" s="2065"/>
      <c r="AC28" s="2065"/>
      <c r="AD28" s="2065"/>
      <c r="AE28" s="2065"/>
      <c r="AF28" s="2065"/>
      <c r="AG28" s="2065"/>
      <c r="AH28" s="2065"/>
      <c r="AI28" s="2065"/>
      <c r="AJ28" s="2065"/>
      <c r="AK28" s="2065"/>
      <c r="AL28" s="2065"/>
      <c r="AM28" s="2065"/>
      <c r="AN28" s="2065"/>
      <c r="AO28" s="2065"/>
      <c r="AP28" s="2065"/>
      <c r="AQ28" s="2065"/>
      <c r="AR28" s="2065"/>
      <c r="AS28" s="2065"/>
      <c r="AT28" s="2065"/>
      <c r="AU28" s="2065"/>
      <c r="AV28" s="2065"/>
      <c r="AW28" s="2065"/>
      <c r="AX28" s="2065"/>
      <c r="AY28" s="2065"/>
      <c r="AZ28" s="2065"/>
      <c r="BA28" s="1114"/>
    </row>
    <row r="29" spans="1:60" ht="14.25" customHeight="1">
      <c r="Q29" s="209"/>
      <c r="R29" s="304"/>
      <c r="S29" s="2088" t="str">
        <f>IF(org=0,"Не определено",org)</f>
        <v>МУП г. Астрахани "Коммунэнерго"</v>
      </c>
      <c r="T29" s="2088"/>
      <c r="U29" s="2088"/>
      <c r="V29" s="2088"/>
      <c r="W29" s="2088"/>
      <c r="X29" s="2088"/>
      <c r="Y29" s="2088"/>
      <c r="Z29" s="2088"/>
      <c r="AA29" s="2088"/>
      <c r="AB29" s="2088"/>
      <c r="AC29" s="2088"/>
      <c r="AD29" s="2088"/>
      <c r="AE29" s="2088"/>
      <c r="AF29" s="2088"/>
      <c r="AG29" s="2088"/>
      <c r="AH29" s="2088"/>
      <c r="AI29" s="2088"/>
      <c r="AJ29" s="2088"/>
      <c r="AK29" s="2088"/>
      <c r="AL29" s="2088"/>
      <c r="AM29" s="2088"/>
      <c r="AN29" s="2088"/>
      <c r="AO29" s="2088"/>
      <c r="AP29" s="2088"/>
      <c r="AQ29" s="2088"/>
      <c r="AR29" s="2088"/>
      <c r="AS29" s="2088"/>
      <c r="AT29" s="2088"/>
      <c r="AU29" s="2088"/>
      <c r="AV29" s="2088"/>
      <c r="AW29" s="2088"/>
      <c r="AX29" s="2088"/>
      <c r="AY29" s="2088"/>
      <c r="AZ29" s="2088"/>
      <c r="BA29" s="1114"/>
    </row>
    <row r="30" spans="1:60" ht="14.25" hidden="1" customHeight="1">
      <c r="Q30" s="209"/>
      <c r="R30" s="304"/>
      <c r="S30" s="1156"/>
      <c r="T30" s="289"/>
      <c r="U30" s="289"/>
      <c r="V30" s="248"/>
      <c r="W30" s="248"/>
      <c r="X30" s="248"/>
      <c r="Y30" s="248"/>
      <c r="Z30" s="248"/>
      <c r="AA30" s="248"/>
      <c r="AB30" s="248"/>
      <c r="AC30" s="248"/>
      <c r="AD30" s="248"/>
      <c r="AE30" s="248"/>
      <c r="AF30" s="248"/>
      <c r="AG30" s="248"/>
      <c r="AH30" s="248"/>
      <c r="AI30" s="248"/>
      <c r="AJ30" s="248"/>
      <c r="AK30" s="248"/>
      <c r="AL30" s="248"/>
      <c r="AM30" s="248"/>
      <c r="AN30" s="248"/>
      <c r="AO30" s="248"/>
      <c r="AP30" s="248"/>
      <c r="AQ30" s="248"/>
      <c r="AR30" s="248"/>
      <c r="AS30" s="248"/>
      <c r="AT30" s="248"/>
      <c r="AU30" s="248"/>
      <c r="AV30" s="248"/>
      <c r="AW30" s="248"/>
      <c r="AX30" s="248"/>
      <c r="AY30" s="248"/>
      <c r="AZ30" s="248"/>
      <c r="BA30" s="248"/>
      <c r="BB30" s="437"/>
    </row>
    <row r="31" spans="1:60" s="1933" customFormat="1" ht="25.5" hidden="1" customHeight="1">
      <c r="A31" s="1247"/>
      <c r="B31" s="1247"/>
      <c r="C31" s="1247"/>
      <c r="D31" s="1247"/>
      <c r="E31" s="1247"/>
      <c r="F31" s="1247"/>
      <c r="G31" s="1247"/>
      <c r="H31" s="1247"/>
      <c r="I31" s="1247"/>
      <c r="J31" s="1247"/>
      <c r="K31" s="1247"/>
      <c r="L31" s="1248"/>
      <c r="M31" s="1247"/>
      <c r="N31" s="1247"/>
      <c r="O31" s="1247"/>
      <c r="P31" s="1247"/>
      <c r="Q31" s="1247"/>
      <c r="S31" s="2213" t="s">
        <v>38</v>
      </c>
      <c r="T31" s="2213"/>
      <c r="U31" s="1251"/>
      <c r="V31" s="2214"/>
      <c r="W31" s="2214"/>
      <c r="X31" s="2214"/>
      <c r="Y31" s="2214"/>
      <c r="Z31" s="2214"/>
      <c r="AA31" s="2214"/>
      <c r="AB31" s="2214"/>
      <c r="AC31" s="253"/>
      <c r="AD31" s="2214" t="str">
        <f>IF(TITLE_NAME_OR_PR_CHANGE="",IF(TITLE_NAME_OR_PR="","",TITLE_NAME_OR_PR),TITLE_NAME_OR_PR_CHANGE)</f>
        <v/>
      </c>
      <c r="AE31" s="2214"/>
      <c r="AF31" s="2214"/>
      <c r="AG31" s="2214"/>
      <c r="AH31" s="2214"/>
      <c r="AI31" s="2214"/>
      <c r="AJ31" s="2214"/>
      <c r="AK31" s="2214"/>
      <c r="AL31" s="2214"/>
      <c r="AM31" s="2214"/>
      <c r="AN31" s="2214"/>
      <c r="AO31" s="2214"/>
      <c r="AP31" s="2214"/>
      <c r="AQ31" s="2214"/>
      <c r="AR31" s="2214"/>
      <c r="AS31" s="2214"/>
      <c r="AT31" s="2214"/>
      <c r="AU31" s="2214"/>
      <c r="AV31" s="2214"/>
      <c r="AW31" s="2214"/>
      <c r="AX31" s="2214"/>
      <c r="AY31" s="2214"/>
      <c r="AZ31" s="2214"/>
      <c r="BA31" s="253"/>
      <c r="BB31" s="253"/>
      <c r="BC31" s="199"/>
      <c r="BD31" s="295"/>
      <c r="BE31" s="295"/>
      <c r="BF31" s="295"/>
      <c r="BG31" s="295"/>
      <c r="BH31" s="295"/>
    </row>
    <row r="32" spans="1:60" s="1933" customFormat="1" ht="18.75" hidden="1" customHeight="1">
      <c r="A32" s="1247"/>
      <c r="B32" s="1247"/>
      <c r="C32" s="1247"/>
      <c r="D32" s="1247"/>
      <c r="E32" s="1247"/>
      <c r="F32" s="1247"/>
      <c r="G32" s="1247"/>
      <c r="H32" s="1247"/>
      <c r="I32" s="1247"/>
      <c r="J32" s="1247"/>
      <c r="K32" s="1247"/>
      <c r="L32" s="1248"/>
      <c r="M32" s="1247"/>
      <c r="N32" s="1247"/>
      <c r="O32" s="1247"/>
      <c r="P32" s="1247"/>
      <c r="Q32" s="1247"/>
      <c r="S32" s="2213" t="s">
        <v>1486</v>
      </c>
      <c r="T32" s="2213"/>
      <c r="U32" s="1251"/>
      <c r="V32" s="2214"/>
      <c r="W32" s="2214"/>
      <c r="X32" s="2214"/>
      <c r="Y32" s="2214"/>
      <c r="Z32" s="2214"/>
      <c r="AA32" s="2214"/>
      <c r="AB32" s="2214"/>
      <c r="AC32" s="253"/>
      <c r="AD32" s="2214" t="str">
        <f>IF(TITLE_DATE_CHANGE_PERIOD="",IF(TITLE_DATE_PR="","",TITLE_DATE_PR),TITLE_DATE_CHANGE_PERIOD)</f>
        <v/>
      </c>
      <c r="AE32" s="2214"/>
      <c r="AF32" s="2214"/>
      <c r="AG32" s="2214"/>
      <c r="AH32" s="2214"/>
      <c r="AI32" s="2214"/>
      <c r="AJ32" s="2214"/>
      <c r="AK32" s="2214"/>
      <c r="AL32" s="2214"/>
      <c r="AM32" s="2214"/>
      <c r="AN32" s="2214"/>
      <c r="AO32" s="2214"/>
      <c r="AP32" s="2214"/>
      <c r="AQ32" s="2214"/>
      <c r="AR32" s="2214"/>
      <c r="AS32" s="2214"/>
      <c r="AT32" s="2214"/>
      <c r="AU32" s="2214"/>
      <c r="AV32" s="2214"/>
      <c r="AW32" s="2214"/>
      <c r="AX32" s="2214"/>
      <c r="AY32" s="2214"/>
      <c r="AZ32" s="2214"/>
      <c r="BA32" s="253"/>
      <c r="BB32" s="253"/>
      <c r="BC32" s="199"/>
      <c r="BD32" s="295"/>
      <c r="BE32" s="295"/>
      <c r="BF32" s="295"/>
      <c r="BG32" s="295"/>
      <c r="BH32" s="295"/>
    </row>
    <row r="33" spans="1:60" s="1933" customFormat="1" ht="18.75" hidden="1" customHeight="1">
      <c r="A33" s="1247"/>
      <c r="B33" s="1247"/>
      <c r="C33" s="1247"/>
      <c r="D33" s="1247"/>
      <c r="E33" s="1247"/>
      <c r="F33" s="1247"/>
      <c r="G33" s="1247"/>
      <c r="H33" s="1247"/>
      <c r="I33" s="1247"/>
      <c r="J33" s="1247"/>
      <c r="K33" s="1247"/>
      <c r="L33" s="1248"/>
      <c r="M33" s="1247"/>
      <c r="N33" s="1247"/>
      <c r="O33" s="1247"/>
      <c r="P33" s="1247"/>
      <c r="Q33" s="1247"/>
      <c r="S33" s="2213" t="s">
        <v>1487</v>
      </c>
      <c r="T33" s="2213"/>
      <c r="U33" s="1251"/>
      <c r="V33" s="2214"/>
      <c r="W33" s="2214"/>
      <c r="X33" s="2214"/>
      <c r="Y33" s="2214"/>
      <c r="Z33" s="2214"/>
      <c r="AA33" s="2214"/>
      <c r="AB33" s="2214"/>
      <c r="AC33" s="253"/>
      <c r="AD33" s="2214" t="str">
        <f>IF(TITLE_NUMBER_PR_CHANGE="",IF(TITLE_NUMBER_PR="","",TITLE_NUMBER_PR),TITLE_NUMBER_PR_CHANGE)</f>
        <v/>
      </c>
      <c r="AE33" s="2214"/>
      <c r="AF33" s="2214"/>
      <c r="AG33" s="2214"/>
      <c r="AH33" s="2214"/>
      <c r="AI33" s="2214"/>
      <c r="AJ33" s="2214"/>
      <c r="AK33" s="2214"/>
      <c r="AL33" s="2214"/>
      <c r="AM33" s="2214"/>
      <c r="AN33" s="2214"/>
      <c r="AO33" s="2214"/>
      <c r="AP33" s="2214"/>
      <c r="AQ33" s="2214"/>
      <c r="AR33" s="2214"/>
      <c r="AS33" s="2214"/>
      <c r="AT33" s="2214"/>
      <c r="AU33" s="2214"/>
      <c r="AV33" s="2214"/>
      <c r="AW33" s="2214"/>
      <c r="AX33" s="2214"/>
      <c r="AY33" s="2214"/>
      <c r="AZ33" s="2214"/>
      <c r="BA33" s="253"/>
      <c r="BB33" s="253"/>
      <c r="BC33" s="199"/>
      <c r="BD33" s="295"/>
      <c r="BE33" s="295"/>
      <c r="BF33" s="295"/>
      <c r="BG33" s="295"/>
      <c r="BH33" s="295"/>
    </row>
    <row r="34" spans="1:60" s="1933" customFormat="1" ht="18.75" hidden="1" customHeight="1">
      <c r="A34" s="1247"/>
      <c r="B34" s="1247"/>
      <c r="C34" s="1247"/>
      <c r="D34" s="1247"/>
      <c r="E34" s="1247"/>
      <c r="F34" s="1247"/>
      <c r="G34" s="1247"/>
      <c r="H34" s="1247"/>
      <c r="I34" s="1247"/>
      <c r="J34" s="1247"/>
      <c r="K34" s="1247"/>
      <c r="L34" s="1248"/>
      <c r="M34" s="1247"/>
      <c r="N34" s="1247"/>
      <c r="O34" s="1247"/>
      <c r="P34" s="1247"/>
      <c r="Q34" s="1247"/>
      <c r="S34" s="2213" t="s">
        <v>39</v>
      </c>
      <c r="T34" s="2213"/>
      <c r="U34" s="1251"/>
      <c r="V34" s="2214"/>
      <c r="W34" s="2214"/>
      <c r="X34" s="2214"/>
      <c r="Y34" s="2214"/>
      <c r="Z34" s="2214"/>
      <c r="AA34" s="2214"/>
      <c r="AB34" s="2214"/>
      <c r="AC34" s="253"/>
      <c r="AD34" s="2214" t="str">
        <f>IF(TITLE_IST_PUB_CHANGE="",IF(TITLE_IST_PUB="","",TITLE_IST_PUB),TITLE_IST_PUB_CHANGE)</f>
        <v/>
      </c>
      <c r="AE34" s="2214"/>
      <c r="AF34" s="2214"/>
      <c r="AG34" s="2214"/>
      <c r="AH34" s="2214"/>
      <c r="AI34" s="2214"/>
      <c r="AJ34" s="2214"/>
      <c r="AK34" s="2214"/>
      <c r="AL34" s="2214"/>
      <c r="AM34" s="2214"/>
      <c r="AN34" s="2214"/>
      <c r="AO34" s="2214"/>
      <c r="AP34" s="2214"/>
      <c r="AQ34" s="2214"/>
      <c r="AR34" s="2214"/>
      <c r="AS34" s="2214"/>
      <c r="AT34" s="2214"/>
      <c r="AU34" s="2214"/>
      <c r="AV34" s="2214"/>
      <c r="AW34" s="2214"/>
      <c r="AX34" s="2214"/>
      <c r="AY34" s="2214"/>
      <c r="AZ34" s="2214"/>
      <c r="BA34" s="253"/>
      <c r="BB34" s="253"/>
      <c r="BC34" s="199"/>
      <c r="BD34" s="295"/>
      <c r="BE34" s="295"/>
      <c r="BF34" s="295"/>
      <c r="BG34" s="295"/>
      <c r="BH34" s="295"/>
    </row>
    <row r="35" spans="1:60" ht="14.25" hidden="1" customHeight="1">
      <c r="Q35" s="209"/>
      <c r="R35" s="304"/>
      <c r="S35" s="1156"/>
      <c r="T35" s="289"/>
      <c r="U35" s="289"/>
      <c r="V35" s="248"/>
      <c r="W35" s="248"/>
      <c r="X35" s="248"/>
      <c r="Y35" s="248"/>
      <c r="Z35" s="248"/>
      <c r="AA35" s="248"/>
      <c r="AB35" s="248"/>
      <c r="AC35" s="248"/>
      <c r="AD35" s="248"/>
      <c r="AE35" s="248"/>
      <c r="AF35" s="248"/>
      <c r="AG35" s="248"/>
      <c r="AH35" s="248"/>
      <c r="AI35" s="248"/>
      <c r="AJ35" s="248"/>
      <c r="AK35" s="248"/>
      <c r="AL35" s="248"/>
      <c r="AM35" s="248"/>
      <c r="AN35" s="248"/>
      <c r="AO35" s="248"/>
      <c r="AP35" s="248"/>
      <c r="AQ35" s="248"/>
      <c r="AR35" s="248"/>
      <c r="AS35" s="248"/>
      <c r="AT35" s="248"/>
      <c r="AU35" s="248"/>
      <c r="AV35" s="248"/>
      <c r="AW35" s="248"/>
      <c r="AX35" s="248"/>
      <c r="AY35" s="248"/>
      <c r="AZ35" s="248"/>
      <c r="BA35" s="248"/>
      <c r="BB35" s="437"/>
    </row>
    <row r="36" spans="1:60" s="1933" customFormat="1" ht="18.75" hidden="1" customHeight="1">
      <c r="A36" s="1247"/>
      <c r="B36" s="1247"/>
      <c r="C36" s="1247"/>
      <c r="D36" s="1247"/>
      <c r="E36" s="1247"/>
      <c r="F36" s="1247"/>
      <c r="G36" s="1247"/>
      <c r="H36" s="1247"/>
      <c r="I36" s="1247"/>
      <c r="J36" s="1247"/>
      <c r="K36" s="1247"/>
      <c r="L36" s="1248"/>
      <c r="M36" s="1247"/>
      <c r="N36" s="1247"/>
      <c r="O36" s="1247"/>
      <c r="P36" s="1247"/>
      <c r="Q36" s="1247"/>
      <c r="S36" s="2213" t="s">
        <v>1486</v>
      </c>
      <c r="T36" s="2213"/>
      <c r="U36" s="1251"/>
      <c r="V36" s="2214"/>
      <c r="W36" s="2214"/>
      <c r="X36" s="2214"/>
      <c r="Y36" s="2214"/>
      <c r="Z36" s="2214"/>
      <c r="AA36" s="2214"/>
      <c r="AB36" s="2214"/>
      <c r="AC36" s="253"/>
      <c r="AD36" s="2214" t="str">
        <f>IF(TITLE_DATE_CHANGE_PERIOD="",IF(TITLE_DATE_PR="","",TITLE_DATE_PR),TITLE_DATE_CHANGE_PERIOD)</f>
        <v/>
      </c>
      <c r="AE36" s="2214"/>
      <c r="AF36" s="2214"/>
      <c r="AG36" s="2214"/>
      <c r="AH36" s="2214"/>
      <c r="AI36" s="2214"/>
      <c r="AJ36" s="2214"/>
      <c r="AK36" s="2214"/>
      <c r="AL36" s="2214"/>
      <c r="AM36" s="2214"/>
      <c r="AN36" s="2214"/>
      <c r="AO36" s="2214"/>
      <c r="AP36" s="2214"/>
      <c r="AQ36" s="2214"/>
      <c r="AR36" s="2214"/>
      <c r="AS36" s="2214"/>
      <c r="AT36" s="2214"/>
      <c r="AU36" s="2214"/>
      <c r="AV36" s="2214"/>
      <c r="AW36" s="2214"/>
      <c r="AX36" s="2214"/>
      <c r="AY36" s="2214"/>
      <c r="AZ36" s="2214"/>
      <c r="BA36" s="253"/>
      <c r="BB36" s="253"/>
      <c r="BC36" s="199"/>
      <c r="BD36" s="295"/>
      <c r="BE36" s="295"/>
      <c r="BF36" s="295"/>
      <c r="BG36" s="295"/>
      <c r="BH36" s="295"/>
    </row>
    <row r="37" spans="1:60" s="1933" customFormat="1" ht="18.75" hidden="1" customHeight="1">
      <c r="A37" s="1247"/>
      <c r="B37" s="1247"/>
      <c r="C37" s="1247"/>
      <c r="D37" s="1247"/>
      <c r="E37" s="1247"/>
      <c r="F37" s="1247"/>
      <c r="G37" s="1247"/>
      <c r="H37" s="1247"/>
      <c r="I37" s="1247"/>
      <c r="J37" s="1247"/>
      <c r="K37" s="1247"/>
      <c r="L37" s="1248"/>
      <c r="M37" s="1247"/>
      <c r="N37" s="1247"/>
      <c r="O37" s="1247"/>
      <c r="P37" s="1247"/>
      <c r="Q37" s="1247"/>
      <c r="S37" s="2213" t="s">
        <v>1487</v>
      </c>
      <c r="T37" s="2213"/>
      <c r="U37" s="1251"/>
      <c r="V37" s="2214"/>
      <c r="W37" s="2214"/>
      <c r="X37" s="2214"/>
      <c r="Y37" s="2214"/>
      <c r="Z37" s="2214"/>
      <c r="AA37" s="2214"/>
      <c r="AB37" s="2214"/>
      <c r="AC37" s="253"/>
      <c r="AD37" s="2214" t="str">
        <f>IF(TITLE_NUMBER_PR_CHANGE="",IF(TITLE_NUMBER_PR="","",TITLE_NUMBER_PR),TITLE_NUMBER_PR_CHANGE)</f>
        <v/>
      </c>
      <c r="AE37" s="2214"/>
      <c r="AF37" s="2214"/>
      <c r="AG37" s="2214"/>
      <c r="AH37" s="2214"/>
      <c r="AI37" s="2214"/>
      <c r="AJ37" s="2214"/>
      <c r="AK37" s="2214"/>
      <c r="AL37" s="2214"/>
      <c r="AM37" s="2214"/>
      <c r="AN37" s="2214"/>
      <c r="AO37" s="2214"/>
      <c r="AP37" s="2214"/>
      <c r="AQ37" s="2214"/>
      <c r="AR37" s="2214"/>
      <c r="AS37" s="2214"/>
      <c r="AT37" s="2214"/>
      <c r="AU37" s="2214"/>
      <c r="AV37" s="2214"/>
      <c r="AW37" s="2214"/>
      <c r="AX37" s="2214"/>
      <c r="AY37" s="2214"/>
      <c r="AZ37" s="2214"/>
      <c r="BA37" s="253"/>
      <c r="BB37" s="253"/>
      <c r="BC37" s="199"/>
      <c r="BD37" s="295"/>
      <c r="BE37" s="295"/>
      <c r="BF37" s="295"/>
      <c r="BG37" s="295"/>
      <c r="BH37" s="295"/>
    </row>
    <row r="38" spans="1:60" s="1933" customFormat="1" ht="0" hidden="1" customHeight="1">
      <c r="A38" s="1247"/>
      <c r="B38" s="1247"/>
      <c r="C38" s="1247"/>
      <c r="D38" s="1247"/>
      <c r="E38" s="1247"/>
      <c r="F38" s="1247"/>
      <c r="G38" s="1247"/>
      <c r="H38" s="1247"/>
      <c r="I38" s="1247"/>
      <c r="J38" s="1247"/>
      <c r="K38" s="1247"/>
      <c r="L38" s="1248"/>
      <c r="M38" s="1247"/>
      <c r="N38" s="1247"/>
      <c r="O38" s="1247"/>
      <c r="P38" s="1247"/>
      <c r="Q38" s="1247"/>
      <c r="S38" s="250"/>
      <c r="T38" s="250"/>
      <c r="U38" s="1348"/>
      <c r="V38" s="253"/>
      <c r="W38" s="253"/>
      <c r="X38" s="253"/>
      <c r="Y38" s="253"/>
      <c r="Z38" s="253"/>
      <c r="AA38" s="253"/>
      <c r="AB38" s="253"/>
      <c r="AC38" s="197" t="s">
        <v>1490</v>
      </c>
      <c r="AD38" s="253"/>
      <c r="AE38" s="253"/>
      <c r="AF38" s="253"/>
      <c r="AG38" s="253"/>
      <c r="AH38" s="253"/>
      <c r="AI38" s="253"/>
      <c r="AJ38" s="253"/>
      <c r="AK38" s="253"/>
      <c r="AL38" s="253"/>
      <c r="AM38" s="253"/>
      <c r="AN38" s="253"/>
      <c r="AO38" s="253"/>
      <c r="AP38" s="253"/>
      <c r="AQ38" s="253"/>
      <c r="AR38" s="253"/>
      <c r="AS38" s="253"/>
      <c r="AT38" s="253"/>
      <c r="AU38" s="253"/>
      <c r="AV38" s="253"/>
      <c r="AW38" s="253"/>
      <c r="AX38" s="253"/>
      <c r="AY38" s="253"/>
      <c r="AZ38" s="253"/>
      <c r="BA38" s="197" t="s">
        <v>1490</v>
      </c>
      <c r="BD38" s="295"/>
      <c r="BE38" s="295"/>
      <c r="BF38" s="295"/>
      <c r="BG38" s="295"/>
      <c r="BH38" s="295"/>
    </row>
    <row r="39" spans="1:60" ht="14.25" customHeight="1">
      <c r="Q39" s="209"/>
      <c r="R39" s="304"/>
      <c r="S39" s="1156"/>
      <c r="T39" s="289"/>
      <c r="U39" s="1115"/>
      <c r="V39" s="2232"/>
      <c r="W39" s="2232"/>
      <c r="X39" s="2232"/>
      <c r="Y39" s="2232"/>
      <c r="Z39" s="2232"/>
      <c r="AA39" s="2232"/>
      <c r="AB39" s="2232"/>
      <c r="AC39" s="2232"/>
      <c r="AD39" s="2232"/>
      <c r="AE39" s="2232"/>
      <c r="AF39" s="2232"/>
      <c r="AG39" s="2232"/>
      <c r="AH39" s="2232"/>
      <c r="AI39" s="2232"/>
      <c r="AJ39" s="2232"/>
      <c r="AK39" s="2232"/>
      <c r="AL39" s="2232"/>
      <c r="AM39" s="2232"/>
      <c r="AN39" s="2232"/>
      <c r="AO39" s="2232"/>
      <c r="AP39" s="2232"/>
      <c r="AQ39" s="2232"/>
      <c r="AR39" s="2232"/>
      <c r="AS39" s="2232"/>
      <c r="AT39" s="2232"/>
      <c r="AU39" s="2232"/>
      <c r="AV39" s="2232"/>
      <c r="AW39" s="2232"/>
      <c r="AX39" s="2232"/>
      <c r="AY39" s="2232"/>
      <c r="AZ39" s="2232"/>
      <c r="BA39" s="2232"/>
    </row>
    <row r="40" spans="1:60" ht="14.25" customHeight="1">
      <c r="Q40" s="209"/>
      <c r="R40" s="304"/>
      <c r="S40" s="2007" t="s">
        <v>292</v>
      </c>
      <c r="T40" s="2007"/>
      <c r="U40" s="2007"/>
      <c r="V40" s="2007"/>
      <c r="W40" s="2007"/>
      <c r="X40" s="2007"/>
      <c r="Y40" s="2007"/>
      <c r="Z40" s="2007"/>
      <c r="AA40" s="2007"/>
      <c r="AB40" s="2007"/>
      <c r="AC40" s="2007"/>
      <c r="AD40" s="2007"/>
      <c r="AE40" s="2007"/>
      <c r="AF40" s="2007"/>
      <c r="AG40" s="2007"/>
      <c r="AH40" s="2007"/>
      <c r="AI40" s="2007"/>
      <c r="AJ40" s="2007"/>
      <c r="AK40" s="2007"/>
      <c r="AL40" s="2007"/>
      <c r="AM40" s="2007"/>
      <c r="AN40" s="2007"/>
      <c r="AO40" s="2007"/>
      <c r="AP40" s="2007"/>
      <c r="AQ40" s="2007"/>
      <c r="AR40" s="2007"/>
      <c r="AS40" s="2007"/>
      <c r="AT40" s="2007"/>
      <c r="AU40" s="2007"/>
      <c r="AV40" s="2007"/>
      <c r="AW40" s="2007"/>
      <c r="AX40" s="2007"/>
      <c r="AY40" s="2007"/>
      <c r="AZ40" s="2007"/>
      <c r="BA40" s="2007"/>
      <c r="BB40" s="2007"/>
      <c r="BC40" s="2007" t="s">
        <v>293</v>
      </c>
    </row>
    <row r="41" spans="1:60" ht="14.25" customHeight="1">
      <c r="Q41" s="209"/>
      <c r="R41" s="304"/>
      <c r="S41" s="2233" t="s">
        <v>87</v>
      </c>
      <c r="T41" s="2097" t="s">
        <v>1704</v>
      </c>
      <c r="U41" s="219"/>
      <c r="V41" s="2234" t="s">
        <v>1492</v>
      </c>
      <c r="W41" s="2235"/>
      <c r="X41" s="2235"/>
      <c r="Y41" s="2235"/>
      <c r="Z41" s="2235"/>
      <c r="AA41" s="2235"/>
      <c r="AB41" s="2236"/>
      <c r="AC41" s="2237" t="s">
        <v>1493</v>
      </c>
      <c r="AD41" s="2259" t="s">
        <v>1705</v>
      </c>
      <c r="AE41" s="2248"/>
      <c r="AF41" s="2248"/>
      <c r="AG41" s="2260"/>
      <c r="AH41" s="2259" t="s">
        <v>1706</v>
      </c>
      <c r="AI41" s="2248"/>
      <c r="AJ41" s="2248"/>
      <c r="AK41" s="2260"/>
      <c r="AL41" s="2259" t="s">
        <v>1707</v>
      </c>
      <c r="AM41" s="2248"/>
      <c r="AN41" s="2248"/>
      <c r="AO41" s="2260"/>
      <c r="AP41" s="2259" t="s">
        <v>1708</v>
      </c>
      <c r="AQ41" s="2248"/>
      <c r="AR41" s="2248"/>
      <c r="AS41" s="2260"/>
      <c r="AT41" s="2234" t="s">
        <v>1492</v>
      </c>
      <c r="AU41" s="2235"/>
      <c r="AV41" s="2235"/>
      <c r="AW41" s="2235"/>
      <c r="AX41" s="2235"/>
      <c r="AY41" s="2235"/>
      <c r="AZ41" s="2236"/>
      <c r="BA41" s="2237" t="s">
        <v>1493</v>
      </c>
      <c r="BB41" s="2240" t="s">
        <v>1495</v>
      </c>
      <c r="BC41" s="2007"/>
    </row>
    <row r="42" spans="1:60" ht="33.75" customHeight="1">
      <c r="Q42" s="209"/>
      <c r="R42" s="304"/>
      <c r="S42" s="2233"/>
      <c r="T42" s="2097"/>
      <c r="U42" s="924"/>
      <c r="V42" s="2067" t="s">
        <v>1709</v>
      </c>
      <c r="W42" s="2068"/>
      <c r="X42" s="2067" t="s">
        <v>1710</v>
      </c>
      <c r="Y42" s="2068"/>
      <c r="Z42" s="2067" t="s">
        <v>1711</v>
      </c>
      <c r="AA42" s="2253"/>
      <c r="AB42" s="2068"/>
      <c r="AC42" s="2238"/>
      <c r="AD42" s="2261"/>
      <c r="AE42" s="2262"/>
      <c r="AF42" s="2262"/>
      <c r="AG42" s="2263"/>
      <c r="AH42" s="2261"/>
      <c r="AI42" s="2262"/>
      <c r="AJ42" s="2262"/>
      <c r="AK42" s="2263"/>
      <c r="AL42" s="2261"/>
      <c r="AM42" s="2262"/>
      <c r="AN42" s="2262"/>
      <c r="AO42" s="2263"/>
      <c r="AP42" s="2261"/>
      <c r="AQ42" s="2262"/>
      <c r="AR42" s="2262"/>
      <c r="AS42" s="2263"/>
      <c r="AT42" s="2067" t="s">
        <v>1709</v>
      </c>
      <c r="AU42" s="2068"/>
      <c r="AV42" s="2067" t="s">
        <v>1710</v>
      </c>
      <c r="AW42" s="2068"/>
      <c r="AX42" s="2067" t="s">
        <v>1711</v>
      </c>
      <c r="AY42" s="2253"/>
      <c r="AZ42" s="2068"/>
      <c r="BA42" s="2238"/>
      <c r="BB42" s="2241"/>
      <c r="BC42" s="2007"/>
    </row>
    <row r="43" spans="1:60" ht="14.25" customHeight="1">
      <c r="Q43" s="209"/>
      <c r="R43" s="304"/>
      <c r="S43" s="2233"/>
      <c r="T43" s="2097"/>
      <c r="U43" s="924"/>
      <c r="V43" s="2072"/>
      <c r="W43" s="2073"/>
      <c r="X43" s="2072"/>
      <c r="Y43" s="2073"/>
      <c r="Z43" s="2072"/>
      <c r="AA43" s="2254"/>
      <c r="AB43" s="2073"/>
      <c r="AC43" s="2238"/>
      <c r="AD43" s="2261"/>
      <c r="AE43" s="2262"/>
      <c r="AF43" s="2262"/>
      <c r="AG43" s="2263"/>
      <c r="AH43" s="2261"/>
      <c r="AI43" s="2262"/>
      <c r="AJ43" s="2262"/>
      <c r="AK43" s="2263"/>
      <c r="AL43" s="2261"/>
      <c r="AM43" s="2262"/>
      <c r="AN43" s="2262"/>
      <c r="AO43" s="2263"/>
      <c r="AP43" s="2261"/>
      <c r="AQ43" s="2262"/>
      <c r="AR43" s="2262"/>
      <c r="AS43" s="2263"/>
      <c r="AT43" s="2072"/>
      <c r="AU43" s="2073"/>
      <c r="AV43" s="2072"/>
      <c r="AW43" s="2073"/>
      <c r="AX43" s="2072"/>
      <c r="AY43" s="2254"/>
      <c r="AZ43" s="2073"/>
      <c r="BA43" s="2238"/>
      <c r="BB43" s="2241"/>
      <c r="BC43" s="2007"/>
    </row>
    <row r="44" spans="1:60" ht="14.25" customHeight="1">
      <c r="A44" s="1249"/>
      <c r="B44" s="1249" t="s">
        <v>136</v>
      </c>
      <c r="C44" s="1249" t="s">
        <v>137</v>
      </c>
      <c r="D44" s="1249" t="s">
        <v>138</v>
      </c>
      <c r="E44" s="1243" t="s">
        <v>1500</v>
      </c>
      <c r="F44" s="1243" t="s">
        <v>1501</v>
      </c>
      <c r="G44" s="1243" t="s">
        <v>1502</v>
      </c>
      <c r="H44" s="1243" t="s">
        <v>1503</v>
      </c>
      <c r="I44" s="1243" t="s">
        <v>1504</v>
      </c>
      <c r="J44" s="1243" t="s">
        <v>1505</v>
      </c>
      <c r="K44" s="1243" t="s">
        <v>1506</v>
      </c>
      <c r="L44" s="1243" t="s">
        <v>1481</v>
      </c>
      <c r="Q44" s="209"/>
      <c r="R44" s="304"/>
      <c r="S44" s="2233"/>
      <c r="T44" s="2097"/>
      <c r="U44" s="220"/>
      <c r="V44" s="1339" t="s">
        <v>1552</v>
      </c>
      <c r="W44" s="1339" t="s">
        <v>1553</v>
      </c>
      <c r="X44" s="1339" t="s">
        <v>1552</v>
      </c>
      <c r="Y44" s="1339" t="s">
        <v>1553</v>
      </c>
      <c r="Z44" s="1349" t="s">
        <v>1509</v>
      </c>
      <c r="AA44" s="2103" t="s">
        <v>1510</v>
      </c>
      <c r="AB44" s="2117"/>
      <c r="AC44" s="2239"/>
      <c r="AD44" s="2264"/>
      <c r="AE44" s="2265"/>
      <c r="AF44" s="2265"/>
      <c r="AG44" s="2266"/>
      <c r="AH44" s="2264"/>
      <c r="AI44" s="2265"/>
      <c r="AJ44" s="2265"/>
      <c r="AK44" s="2266"/>
      <c r="AL44" s="2264"/>
      <c r="AM44" s="2265"/>
      <c r="AN44" s="2265"/>
      <c r="AO44" s="2266"/>
      <c r="AP44" s="2264"/>
      <c r="AQ44" s="2265"/>
      <c r="AR44" s="2265"/>
      <c r="AS44" s="2266"/>
      <c r="AT44" s="1339" t="s">
        <v>1552</v>
      </c>
      <c r="AU44" s="1339" t="s">
        <v>1553</v>
      </c>
      <c r="AV44" s="1339" t="s">
        <v>1552</v>
      </c>
      <c r="AW44" s="1339" t="s">
        <v>1553</v>
      </c>
      <c r="AX44" s="1349" t="s">
        <v>1509</v>
      </c>
      <c r="AY44" s="2103" t="s">
        <v>1510</v>
      </c>
      <c r="AZ44" s="2117"/>
      <c r="BA44" s="2239"/>
      <c r="BB44" s="2242"/>
      <c r="BC44" s="2007"/>
    </row>
    <row r="45" spans="1:60" s="1708" customFormat="1" ht="11.25" hidden="1" customHeight="1">
      <c r="A45" s="1249"/>
      <c r="B45" s="1249"/>
      <c r="C45" s="1249"/>
      <c r="D45" s="1249"/>
      <c r="E45" s="1249"/>
      <c r="F45" s="1249"/>
      <c r="G45" s="1249"/>
      <c r="H45" s="1249"/>
      <c r="I45" s="1249"/>
      <c r="J45" s="1249"/>
      <c r="K45" s="1249"/>
      <c r="L45" s="1243"/>
      <c r="M45" s="1241"/>
      <c r="N45" s="1241"/>
      <c r="O45" s="1241"/>
      <c r="P45" s="438"/>
      <c r="Q45" s="1133"/>
      <c r="R45" s="1133">
        <v>1</v>
      </c>
      <c r="S45" s="1158" t="s">
        <v>108</v>
      </c>
      <c r="T45" s="1134" t="s">
        <v>109</v>
      </c>
      <c r="U45" s="1116" t="str">
        <f ca="1">OFFSET(U45,0,-1)</f>
        <v>2</v>
      </c>
      <c r="V45" s="1342">
        <f t="shared" ref="V45:AA45" ca="1" si="2">OFFSET(V45,0,-1)+1</f>
        <v>3</v>
      </c>
      <c r="W45" s="1342">
        <f t="shared" ca="1" si="2"/>
        <v>4</v>
      </c>
      <c r="X45" s="1342">
        <f t="shared" ca="1" si="2"/>
        <v>5</v>
      </c>
      <c r="Y45" s="1342">
        <f t="shared" ca="1" si="2"/>
        <v>6</v>
      </c>
      <c r="Z45" s="1342">
        <f t="shared" ca="1" si="2"/>
        <v>7</v>
      </c>
      <c r="AA45" s="2231">
        <f t="shared" ca="1" si="2"/>
        <v>8</v>
      </c>
      <c r="AB45" s="2231"/>
      <c r="AC45" s="1342">
        <f ca="1">OFFSET(AC45,0,-2)+1</f>
        <v>9</v>
      </c>
      <c r="AD45" s="1342">
        <f ca="1">OFFSET(AD45,0,-1)+1</f>
        <v>10</v>
      </c>
      <c r="AE45" s="1342"/>
      <c r="AF45" s="1342"/>
      <c r="AG45" s="1342"/>
      <c r="AH45" s="1342"/>
      <c r="AI45" s="1342"/>
      <c r="AJ45" s="1342"/>
      <c r="AK45" s="1342"/>
      <c r="AL45" s="1342"/>
      <c r="AM45" s="1342"/>
      <c r="AN45" s="1342"/>
      <c r="AO45" s="1342"/>
      <c r="AP45" s="1342"/>
      <c r="AQ45" s="1342"/>
      <c r="AR45" s="1342"/>
      <c r="AS45" s="1342"/>
      <c r="AT45" s="1342"/>
      <c r="AU45" s="1342"/>
      <c r="AV45" s="1342"/>
      <c r="AW45" s="1342">
        <f ca="1">OFFSET(AW45,0,-1)+1</f>
        <v>1</v>
      </c>
      <c r="AX45" s="1342">
        <f ca="1">OFFSET(AX45,0,-1)+1</f>
        <v>2</v>
      </c>
      <c r="AY45" s="2231">
        <f ca="1">OFFSET(AY45,0,-1)+1</f>
        <v>3</v>
      </c>
      <c r="AZ45" s="2231"/>
      <c r="BA45" s="1342">
        <f ca="1">OFFSET(BA45,0,-2)+1</f>
        <v>4</v>
      </c>
      <c r="BB45" s="1116">
        <f ca="1">OFFSET(BB45,0,-1)</f>
        <v>4</v>
      </c>
      <c r="BC45" s="1342">
        <f ca="1">OFFSET(BC45,0,-1)+1</f>
        <v>5</v>
      </c>
      <c r="BD45" s="439"/>
      <c r="BE45" s="439"/>
      <c r="BF45" s="439"/>
      <c r="BG45" s="439"/>
      <c r="BH45" s="439"/>
    </row>
    <row r="46" spans="1:60" ht="21" customHeight="1">
      <c r="A46" s="1242" t="s">
        <v>253</v>
      </c>
      <c r="B46" s="1242"/>
      <c r="C46" s="1242"/>
      <c r="D46" s="1242"/>
      <c r="E46" s="2221">
        <v>1</v>
      </c>
      <c r="F46" s="1242"/>
      <c r="G46" s="1242"/>
      <c r="H46" s="1242"/>
      <c r="I46" s="1242"/>
      <c r="J46" s="1242"/>
      <c r="K46" s="1242"/>
      <c r="L46" s="1243"/>
      <c r="M46" s="1244"/>
      <c r="N46" s="1244"/>
      <c r="O46" s="1244"/>
      <c r="P46" s="1277"/>
      <c r="Q46" s="770"/>
      <c r="R46" s="279"/>
      <c r="S46" s="1353">
        <f>INDEX(PT_DIFFERENTIATION_NUM_NTAR,MATCH(A46,PT_DIFFERENTIATION_NTAR_ID,0))</f>
        <v>0</v>
      </c>
      <c r="T46" s="216" t="s">
        <v>124</v>
      </c>
      <c r="U46" s="218"/>
      <c r="V46" s="2216"/>
      <c r="W46" s="2216"/>
      <c r="X46" s="2216"/>
      <c r="Y46" s="2216"/>
      <c r="Z46" s="2216"/>
      <c r="AA46" s="2216"/>
      <c r="AB46" s="2216"/>
      <c r="AC46" s="2217"/>
      <c r="AD46" s="2215" t="str">
        <f>INDEX(PT_DIFFERENTIATION_NTAR,MATCH(A46,PT_DIFFERENTIATION_NTAR_ID,0))</f>
        <v/>
      </c>
      <c r="AE46" s="2216"/>
      <c r="AF46" s="2216"/>
      <c r="AG46" s="2216"/>
      <c r="AH46" s="2216"/>
      <c r="AI46" s="2216"/>
      <c r="AJ46" s="2216"/>
      <c r="AK46" s="2216"/>
      <c r="AL46" s="2216"/>
      <c r="AM46" s="2216"/>
      <c r="AN46" s="2216"/>
      <c r="AO46" s="2216"/>
      <c r="AP46" s="2216"/>
      <c r="AQ46" s="2216"/>
      <c r="AR46" s="2216"/>
      <c r="AS46" s="2216"/>
      <c r="AT46" s="2216"/>
      <c r="AU46" s="2216"/>
      <c r="AV46" s="2216"/>
      <c r="AW46" s="2216"/>
      <c r="AX46" s="2216"/>
      <c r="AY46" s="2216"/>
      <c r="AZ46" s="2216"/>
      <c r="BA46" s="2216"/>
      <c r="BB46" s="2217"/>
      <c r="BC46" s="1138"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BE46" s="428"/>
      <c r="BF46" s="428" t="str">
        <f t="shared" ref="BF46:BF52" si="3">IF(T46="","",T46)</f>
        <v>Наименование тарифа</v>
      </c>
      <c r="BG46" s="428"/>
      <c r="BH46" s="428"/>
    </row>
    <row r="47" spans="1:60" ht="21" customHeight="1">
      <c r="A47" s="1242" t="s">
        <v>253</v>
      </c>
      <c r="B47" s="1242" t="s">
        <v>254</v>
      </c>
      <c r="C47" s="1242"/>
      <c r="D47" s="1242"/>
      <c r="E47" s="2222"/>
      <c r="F47" s="2221">
        <v>1</v>
      </c>
      <c r="G47" s="1242"/>
      <c r="H47" s="1242"/>
      <c r="I47" s="1242"/>
      <c r="J47" s="1242"/>
      <c r="K47" s="1242"/>
      <c r="L47" s="1243"/>
      <c r="M47" s="1244"/>
      <c r="N47" s="1244"/>
      <c r="O47" s="1244"/>
      <c r="P47" s="1278"/>
      <c r="Q47" s="1279"/>
      <c r="R47" s="277"/>
      <c r="S47" s="1353" t="str">
        <f>INDEX(PT_DIFFERENTIATION_NUM_TER,MATCH(B47,PT_DIFFERENTIATION_TER_ID,0))</f>
        <v>.</v>
      </c>
      <c r="T47" s="228" t="s">
        <v>1463</v>
      </c>
      <c r="U47" s="218"/>
      <c r="V47" s="2216"/>
      <c r="W47" s="2216"/>
      <c r="X47" s="2216"/>
      <c r="Y47" s="2216"/>
      <c r="Z47" s="2216"/>
      <c r="AA47" s="2216"/>
      <c r="AB47" s="2216"/>
      <c r="AC47" s="2217"/>
      <c r="AD47" s="2215" t="str">
        <f>INDEX(PT_DIFFERENTIATION_TER,MATCH(B47,PT_DIFFERENTIATION_TER_ID,0))</f>
        <v/>
      </c>
      <c r="AE47" s="2216"/>
      <c r="AF47" s="2216"/>
      <c r="AG47" s="2216"/>
      <c r="AH47" s="2216"/>
      <c r="AI47" s="2216"/>
      <c r="AJ47" s="2216"/>
      <c r="AK47" s="2216"/>
      <c r="AL47" s="2216"/>
      <c r="AM47" s="2216"/>
      <c r="AN47" s="2216"/>
      <c r="AO47" s="2216"/>
      <c r="AP47" s="2216"/>
      <c r="AQ47" s="2216"/>
      <c r="AR47" s="2216"/>
      <c r="AS47" s="2216"/>
      <c r="AT47" s="2216"/>
      <c r="AU47" s="2216"/>
      <c r="AV47" s="2216"/>
      <c r="AW47" s="2216"/>
      <c r="AX47" s="2216"/>
      <c r="AY47" s="2216"/>
      <c r="AZ47" s="2216"/>
      <c r="BA47" s="2216"/>
      <c r="BB47" s="2217"/>
      <c r="BC47" s="1138" t="s">
        <v>1464</v>
      </c>
      <c r="BE47" s="428"/>
      <c r="BF47" s="428" t="str">
        <f t="shared" si="3"/>
        <v>Территория действия тарифа</v>
      </c>
      <c r="BG47" s="428"/>
      <c r="BH47" s="428"/>
    </row>
    <row r="48" spans="1:60" ht="33.75" customHeight="1">
      <c r="A48" s="1242" t="s">
        <v>253</v>
      </c>
      <c r="B48" s="1242" t="s">
        <v>254</v>
      </c>
      <c r="C48" s="1242" t="s">
        <v>255</v>
      </c>
      <c r="D48" s="1242"/>
      <c r="E48" s="2222"/>
      <c r="F48" s="2222"/>
      <c r="G48" s="2221">
        <v>1</v>
      </c>
      <c r="H48" s="1242"/>
      <c r="I48" s="1242"/>
      <c r="J48" s="1242"/>
      <c r="K48" s="1242"/>
      <c r="L48" s="1243"/>
      <c r="M48" s="1244"/>
      <c r="N48" s="1244"/>
      <c r="O48" s="1244"/>
      <c r="P48" s="1280"/>
      <c r="Q48" s="1279"/>
      <c r="R48" s="277"/>
      <c r="S48" s="1353" t="str">
        <f>INDEX(PT_DIFFERENTIATION_NUM_CS,MATCH(C48,PT_DIFFERENTIATION_CS_ID,0))</f>
        <v>..</v>
      </c>
      <c r="T48" s="229" t="s">
        <v>2089</v>
      </c>
      <c r="U48" s="218"/>
      <c r="V48" s="2216"/>
      <c r="W48" s="2216"/>
      <c r="X48" s="2216"/>
      <c r="Y48" s="2216"/>
      <c r="Z48" s="2216"/>
      <c r="AA48" s="2216"/>
      <c r="AB48" s="2216"/>
      <c r="AC48" s="2217"/>
      <c r="AD48" s="2215" t="str">
        <f>INDEX(PT_DIFFERENTIATION_CS,MATCH(C48,PT_DIFFERENTIATION_CS_ID,0))</f>
        <v/>
      </c>
      <c r="AE48" s="2216"/>
      <c r="AF48" s="2216"/>
      <c r="AG48" s="2216"/>
      <c r="AH48" s="2216"/>
      <c r="AI48" s="2216"/>
      <c r="AJ48" s="2216"/>
      <c r="AK48" s="2216"/>
      <c r="AL48" s="2216"/>
      <c r="AM48" s="2216"/>
      <c r="AN48" s="2216"/>
      <c r="AO48" s="2216"/>
      <c r="AP48" s="2216"/>
      <c r="AQ48" s="2216"/>
      <c r="AR48" s="2216"/>
      <c r="AS48" s="2216"/>
      <c r="AT48" s="2216"/>
      <c r="AU48" s="2216"/>
      <c r="AV48" s="2216"/>
      <c r="AW48" s="2216"/>
      <c r="AX48" s="2216"/>
      <c r="AY48" s="2216"/>
      <c r="AZ48" s="2216"/>
      <c r="BA48" s="2216"/>
      <c r="BB48" s="2217"/>
      <c r="BC48" s="1138" t="s">
        <v>2090</v>
      </c>
      <c r="BE48" s="428"/>
      <c r="BF48" s="428" t="str">
        <f t="shared" si="3"/>
        <v>Наименование централизованной системы горячего водоснабжения</v>
      </c>
      <c r="BG48" s="428"/>
      <c r="BH48" s="428"/>
    </row>
    <row r="49" spans="1:60" s="1755" customFormat="1" ht="0" hidden="1" customHeight="1">
      <c r="A49" s="1226" t="s">
        <v>253</v>
      </c>
      <c r="B49" s="1226" t="s">
        <v>254</v>
      </c>
      <c r="C49" s="1226" t="s">
        <v>255</v>
      </c>
      <c r="D49" s="1226" t="s">
        <v>2099</v>
      </c>
      <c r="E49" s="2222"/>
      <c r="F49" s="2222"/>
      <c r="G49" s="2222"/>
      <c r="H49" s="2221">
        <v>1</v>
      </c>
      <c r="I49" s="1226"/>
      <c r="J49" s="1226"/>
      <c r="K49" s="1226"/>
      <c r="L49" s="1229"/>
      <c r="M49" s="1199"/>
      <c r="N49" s="1199"/>
      <c r="O49" s="1199"/>
      <c r="P49" s="1356"/>
      <c r="Q49" s="1357"/>
      <c r="R49" s="281"/>
      <c r="S49" s="932"/>
      <c r="T49" s="1358"/>
      <c r="U49" s="1262"/>
      <c r="V49" s="2250"/>
      <c r="W49" s="2250"/>
      <c r="X49" s="2250"/>
      <c r="Y49" s="2250"/>
      <c r="Z49" s="2250"/>
      <c r="AA49" s="2250"/>
      <c r="AB49" s="2250"/>
      <c r="AC49" s="2251"/>
      <c r="AD49" s="2249"/>
      <c r="AE49" s="2250"/>
      <c r="AF49" s="2250"/>
      <c r="AG49" s="2250"/>
      <c r="AH49" s="2250"/>
      <c r="AI49" s="2250"/>
      <c r="AJ49" s="2250"/>
      <c r="AK49" s="2250"/>
      <c r="AL49" s="2250"/>
      <c r="AM49" s="2250"/>
      <c r="AN49" s="2250"/>
      <c r="AO49" s="2250"/>
      <c r="AP49" s="2250"/>
      <c r="AQ49" s="2250"/>
      <c r="AR49" s="2250"/>
      <c r="AS49" s="2250"/>
      <c r="AT49" s="2250"/>
      <c r="AU49" s="2250"/>
      <c r="AV49" s="2250"/>
      <c r="AW49" s="2250"/>
      <c r="AX49" s="2250"/>
      <c r="AY49" s="2250"/>
      <c r="AZ49" s="2250"/>
      <c r="BA49" s="2250"/>
      <c r="BB49" s="2251"/>
      <c r="BC49" s="1263" t="s">
        <v>1468</v>
      </c>
      <c r="BE49" s="428"/>
      <c r="BF49" s="428" t="str">
        <f t="shared" si="3"/>
        <v/>
      </c>
      <c r="BG49" s="428"/>
      <c r="BH49" s="428"/>
    </row>
    <row r="50" spans="1:60" s="1755" customFormat="1" ht="0" hidden="1" customHeight="1">
      <c r="A50" s="1226" t="s">
        <v>253</v>
      </c>
      <c r="B50" s="1226" t="s">
        <v>254</v>
      </c>
      <c r="C50" s="1226" t="s">
        <v>255</v>
      </c>
      <c r="D50" s="1226" t="s">
        <v>2099</v>
      </c>
      <c r="E50" s="2222"/>
      <c r="F50" s="2222"/>
      <c r="G50" s="2222"/>
      <c r="H50" s="2222"/>
      <c r="I50" s="2223" t="str">
        <f>S49&amp;".1"</f>
        <v>.1</v>
      </c>
      <c r="J50" s="1226"/>
      <c r="K50" s="1226"/>
      <c r="L50" s="1229" t="s">
        <v>1469</v>
      </c>
      <c r="M50" s="438"/>
      <c r="N50" s="438"/>
      <c r="O50" s="438"/>
      <c r="P50" s="2143">
        <v>1</v>
      </c>
      <c r="Q50" s="1341"/>
      <c r="R50" s="280"/>
      <c r="S50" s="932"/>
      <c r="T50" s="1261"/>
      <c r="U50" s="1262"/>
      <c r="V50" s="2250"/>
      <c r="W50" s="2250"/>
      <c r="X50" s="2250"/>
      <c r="Y50" s="2250"/>
      <c r="Z50" s="2250"/>
      <c r="AA50" s="2250"/>
      <c r="AB50" s="2250"/>
      <c r="AC50" s="2251"/>
      <c r="AD50" s="2249"/>
      <c r="AE50" s="2250"/>
      <c r="AF50" s="2250"/>
      <c r="AG50" s="2250"/>
      <c r="AH50" s="2250"/>
      <c r="AI50" s="2250"/>
      <c r="AJ50" s="2250"/>
      <c r="AK50" s="2250"/>
      <c r="AL50" s="2250"/>
      <c r="AM50" s="2250"/>
      <c r="AN50" s="2250"/>
      <c r="AO50" s="2250"/>
      <c r="AP50" s="2250"/>
      <c r="AQ50" s="2250"/>
      <c r="AR50" s="2250"/>
      <c r="AS50" s="2250"/>
      <c r="AT50" s="2250"/>
      <c r="AU50" s="2250"/>
      <c r="AV50" s="2250"/>
      <c r="AW50" s="2250"/>
      <c r="AX50" s="2250"/>
      <c r="AY50" s="2250"/>
      <c r="AZ50" s="2250"/>
      <c r="BA50" s="2250"/>
      <c r="BB50" s="2251"/>
      <c r="BC50" s="1263"/>
      <c r="BE50" s="428"/>
      <c r="BF50" s="428" t="str">
        <f t="shared" si="3"/>
        <v/>
      </c>
      <c r="BG50" s="428"/>
      <c r="BH50" s="428"/>
    </row>
    <row r="51" spans="1:60" s="1755" customFormat="1" ht="0" hidden="1" customHeight="1">
      <c r="A51" s="1226" t="s">
        <v>253</v>
      </c>
      <c r="B51" s="1226" t="s">
        <v>254</v>
      </c>
      <c r="C51" s="1226" t="s">
        <v>255</v>
      </c>
      <c r="D51" s="1226" t="s">
        <v>2099</v>
      </c>
      <c r="E51" s="2222"/>
      <c r="F51" s="2222"/>
      <c r="G51" s="2222"/>
      <c r="H51" s="2222"/>
      <c r="I51" s="2224"/>
      <c r="J51" s="2223" t="str">
        <f>S49&amp;".1"</f>
        <v>.1</v>
      </c>
      <c r="K51" s="1226"/>
      <c r="L51" s="1229"/>
      <c r="M51" s="438"/>
      <c r="N51" s="438"/>
      <c r="O51" s="438"/>
      <c r="P51" s="2143"/>
      <c r="Q51" s="2143">
        <v>1</v>
      </c>
      <c r="R51" s="281"/>
      <c r="S51" s="932"/>
      <c r="T51" s="1271"/>
      <c r="U51" s="1262"/>
      <c r="V51" s="2250"/>
      <c r="W51" s="2250"/>
      <c r="X51" s="2250"/>
      <c r="Y51" s="2250"/>
      <c r="Z51" s="2250"/>
      <c r="AA51" s="2250"/>
      <c r="AB51" s="2250"/>
      <c r="AC51" s="2251"/>
      <c r="AD51" s="2249"/>
      <c r="AE51" s="2250"/>
      <c r="AF51" s="2250"/>
      <c r="AG51" s="2250"/>
      <c r="AH51" s="2250"/>
      <c r="AI51" s="2250"/>
      <c r="AJ51" s="2250"/>
      <c r="AK51" s="2250"/>
      <c r="AL51" s="2250"/>
      <c r="AM51" s="2250"/>
      <c r="AN51" s="2328"/>
      <c r="AO51" s="2328"/>
      <c r="AP51" s="2250"/>
      <c r="AQ51" s="2250"/>
      <c r="AR51" s="2250"/>
      <c r="AS51" s="2250"/>
      <c r="AT51" s="2250"/>
      <c r="AU51" s="2250"/>
      <c r="AV51" s="2250"/>
      <c r="AW51" s="2250"/>
      <c r="AX51" s="2250"/>
      <c r="AY51" s="2250"/>
      <c r="AZ51" s="2250"/>
      <c r="BA51" s="2250"/>
      <c r="BB51" s="2251"/>
      <c r="BC51" s="1263"/>
      <c r="BE51" s="428"/>
      <c r="BF51" s="428" t="str">
        <f t="shared" si="3"/>
        <v/>
      </c>
      <c r="BG51" s="428"/>
      <c r="BH51" s="428"/>
    </row>
    <row r="52" spans="1:60" ht="11.25" customHeight="1">
      <c r="A52" s="1242" t="s">
        <v>253</v>
      </c>
      <c r="B52" s="1242" t="s">
        <v>254</v>
      </c>
      <c r="C52" s="1242" t="s">
        <v>255</v>
      </c>
      <c r="D52" s="1242" t="s">
        <v>2099</v>
      </c>
      <c r="E52" s="2222"/>
      <c r="F52" s="2222"/>
      <c r="G52" s="2222"/>
      <c r="H52" s="2222"/>
      <c r="I52" s="2224"/>
      <c r="J52" s="2224"/>
      <c r="K52" s="2223" t="str">
        <f>S48&amp;".1"</f>
        <v>...1</v>
      </c>
      <c r="L52" s="1243"/>
      <c r="P52" s="2143"/>
      <c r="Q52" s="2143"/>
      <c r="R52" s="281">
        <v>1</v>
      </c>
      <c r="S52" s="2272" t="str">
        <f>$K52</f>
        <v>...1</v>
      </c>
      <c r="T52" s="2322"/>
      <c r="U52" s="218"/>
      <c r="V52" s="1664"/>
      <c r="W52" s="1666"/>
      <c r="X52" s="1664"/>
      <c r="Y52" s="1666"/>
      <c r="Z52" s="1591"/>
      <c r="AA52" s="1330" t="s">
        <v>62</v>
      </c>
      <c r="AB52" s="1591"/>
      <c r="AC52" s="1330" t="s">
        <v>62</v>
      </c>
      <c r="AD52" s="2079" t="s">
        <v>62</v>
      </c>
      <c r="AE52" s="2268"/>
      <c r="AF52" s="2267">
        <v>1</v>
      </c>
      <c r="AG52" s="2321"/>
      <c r="AH52" s="2017" t="s">
        <v>62</v>
      </c>
      <c r="AI52" s="2268"/>
      <c r="AJ52" s="2267">
        <v>1</v>
      </c>
      <c r="AK52" s="2320" t="s">
        <v>17</v>
      </c>
      <c r="AL52" s="2017" t="s">
        <v>62</v>
      </c>
      <c r="AM52" s="2067"/>
      <c r="AN52" s="2267">
        <v>1</v>
      </c>
      <c r="AO52" s="2325"/>
      <c r="AP52" s="2326" t="s">
        <v>62</v>
      </c>
      <c r="AQ52" s="231"/>
      <c r="AR52" s="1346">
        <v>1</v>
      </c>
      <c r="AS52" s="1352" t="s">
        <v>17</v>
      </c>
      <c r="AT52" s="1664"/>
      <c r="AU52" s="1666"/>
      <c r="AV52" s="1664"/>
      <c r="AW52" s="1666"/>
      <c r="AX52" s="1591"/>
      <c r="AY52" s="1330" t="s">
        <v>62</v>
      </c>
      <c r="AZ52" s="1591"/>
      <c r="BA52" s="1330" t="s">
        <v>62</v>
      </c>
      <c r="BB52" s="1672"/>
      <c r="BC52" s="2243" t="s">
        <v>1698</v>
      </c>
      <c r="BE52" s="428"/>
      <c r="BF52" s="428" t="str">
        <f t="shared" si="3"/>
        <v/>
      </c>
      <c r="BG52" s="428"/>
      <c r="BH52" s="428"/>
    </row>
    <row r="53" spans="1:60" ht="11.25" customHeight="1">
      <c r="A53" s="1242"/>
      <c r="B53" s="1242"/>
      <c r="C53" s="1242"/>
      <c r="D53" s="1242"/>
      <c r="E53" s="2222"/>
      <c r="F53" s="2222"/>
      <c r="G53" s="2222"/>
      <c r="H53" s="2222"/>
      <c r="I53" s="2224"/>
      <c r="J53" s="2224"/>
      <c r="K53" s="2223"/>
      <c r="L53" s="1243"/>
      <c r="P53" s="2143"/>
      <c r="Q53" s="2143"/>
      <c r="R53" s="281"/>
      <c r="S53" s="2273"/>
      <c r="T53" s="2323"/>
      <c r="U53" s="218"/>
      <c r="V53" s="1680"/>
      <c r="W53" s="1686"/>
      <c r="X53" s="1680"/>
      <c r="Y53" s="1686"/>
      <c r="Z53" s="1680"/>
      <c r="AA53" s="1680"/>
      <c r="AB53" s="1680"/>
      <c r="AC53" s="1680"/>
      <c r="AD53" s="2080"/>
      <c r="AE53" s="2268"/>
      <c r="AF53" s="2267"/>
      <c r="AG53" s="2321"/>
      <c r="AH53" s="2017"/>
      <c r="AI53" s="2268"/>
      <c r="AJ53" s="2267"/>
      <c r="AK53" s="2320"/>
      <c r="AL53" s="2017"/>
      <c r="AM53" s="2072"/>
      <c r="AN53" s="2267"/>
      <c r="AO53" s="2325"/>
      <c r="AP53" s="2327"/>
      <c r="AQ53" s="238"/>
      <c r="AR53" s="351"/>
      <c r="AS53" s="351" t="s">
        <v>1699</v>
      </c>
      <c r="AT53" s="1680"/>
      <c r="AU53" s="1686"/>
      <c r="AV53" s="1680"/>
      <c r="AW53" s="1686"/>
      <c r="AX53" s="1680"/>
      <c r="AY53" s="1680"/>
      <c r="AZ53" s="1680"/>
      <c r="BA53" s="1680"/>
      <c r="BB53" s="1685"/>
      <c r="BC53" s="2244"/>
      <c r="BE53" s="428"/>
      <c r="BF53" s="428"/>
      <c r="BG53" s="428"/>
      <c r="BH53" s="428"/>
    </row>
    <row r="54" spans="1:60" ht="11.25" customHeight="1">
      <c r="A54" s="1242" t="s">
        <v>253</v>
      </c>
      <c r="B54" s="1242"/>
      <c r="C54" s="1242"/>
      <c r="D54" s="1242"/>
      <c r="E54" s="2222"/>
      <c r="F54" s="2222"/>
      <c r="G54" s="2222"/>
      <c r="H54" s="2222"/>
      <c r="I54" s="2224"/>
      <c r="J54" s="2224"/>
      <c r="K54" s="2223"/>
      <c r="L54" s="1243"/>
      <c r="P54" s="2143"/>
      <c r="Q54" s="2143"/>
      <c r="R54" s="281"/>
      <c r="S54" s="2273"/>
      <c r="T54" s="2323"/>
      <c r="U54" s="218"/>
      <c r="V54" s="1680"/>
      <c r="W54" s="1686"/>
      <c r="X54" s="1680"/>
      <c r="Y54" s="1686"/>
      <c r="Z54" s="1680"/>
      <c r="AA54" s="1680"/>
      <c r="AB54" s="1680"/>
      <c r="AC54" s="1680"/>
      <c r="AD54" s="2080"/>
      <c r="AE54" s="2268"/>
      <c r="AF54" s="2267"/>
      <c r="AG54" s="2321"/>
      <c r="AH54" s="2017"/>
      <c r="AI54" s="2268"/>
      <c r="AJ54" s="2267"/>
      <c r="AK54" s="2320"/>
      <c r="AL54" s="2017"/>
      <c r="AM54" s="238"/>
      <c r="AN54" s="1359"/>
      <c r="AO54" s="1359" t="s">
        <v>1700</v>
      </c>
      <c r="AP54" s="351"/>
      <c r="AQ54" s="351"/>
      <c r="AR54" s="351"/>
      <c r="AS54" s="1680"/>
      <c r="AT54" s="1680"/>
      <c r="AU54" s="1686"/>
      <c r="AV54" s="1680"/>
      <c r="AW54" s="1686"/>
      <c r="AX54" s="1680"/>
      <c r="AY54" s="1680"/>
      <c r="AZ54" s="1680"/>
      <c r="BA54" s="1680"/>
      <c r="BB54" s="1685"/>
      <c r="BC54" s="2244"/>
      <c r="BE54" s="428"/>
      <c r="BF54" s="428"/>
      <c r="BG54" s="428"/>
      <c r="BH54" s="428"/>
    </row>
    <row r="55" spans="1:60" ht="11.25" customHeight="1">
      <c r="A55" s="1242" t="s">
        <v>253</v>
      </c>
      <c r="B55" s="1242"/>
      <c r="C55" s="1242"/>
      <c r="D55" s="1242"/>
      <c r="E55" s="2222"/>
      <c r="F55" s="2222"/>
      <c r="G55" s="2222"/>
      <c r="H55" s="2222"/>
      <c r="I55" s="2224"/>
      <c r="J55" s="2224"/>
      <c r="K55" s="2223"/>
      <c r="L55" s="1243"/>
      <c r="P55" s="2143"/>
      <c r="Q55" s="2143"/>
      <c r="R55" s="281"/>
      <c r="S55" s="2273"/>
      <c r="T55" s="2323"/>
      <c r="U55" s="218"/>
      <c r="V55" s="1680"/>
      <c r="W55" s="1686"/>
      <c r="X55" s="1680"/>
      <c r="Y55" s="1686"/>
      <c r="Z55" s="1680"/>
      <c r="AA55" s="1680"/>
      <c r="AB55" s="1680"/>
      <c r="AC55" s="1680"/>
      <c r="AD55" s="2080"/>
      <c r="AE55" s="2268"/>
      <c r="AF55" s="2267"/>
      <c r="AG55" s="2321"/>
      <c r="AH55" s="2017"/>
      <c r="AI55" s="212"/>
      <c r="AJ55" s="350"/>
      <c r="AK55" s="233" t="s">
        <v>1701</v>
      </c>
      <c r="AL55" s="1680"/>
      <c r="AM55" s="1680"/>
      <c r="AN55" s="1680"/>
      <c r="AO55" s="1680"/>
      <c r="AP55" s="1680"/>
      <c r="AQ55" s="1680"/>
      <c r="AR55" s="1680"/>
      <c r="AS55" s="1680"/>
      <c r="AT55" s="1680"/>
      <c r="AU55" s="1686"/>
      <c r="AV55" s="1680"/>
      <c r="AW55" s="1686"/>
      <c r="AX55" s="1680"/>
      <c r="AY55" s="1680"/>
      <c r="AZ55" s="1680"/>
      <c r="BA55" s="1680"/>
      <c r="BB55" s="1685"/>
      <c r="BC55" s="2244"/>
      <c r="BE55" s="428"/>
      <c r="BF55" s="428"/>
      <c r="BG55" s="428"/>
      <c r="BH55" s="428"/>
    </row>
    <row r="56" spans="1:60" ht="11.25" customHeight="1">
      <c r="A56" s="1242" t="s">
        <v>253</v>
      </c>
      <c r="B56" s="1242" t="s">
        <v>254</v>
      </c>
      <c r="C56" s="1242" t="s">
        <v>255</v>
      </c>
      <c r="D56" s="1242" t="s">
        <v>2099</v>
      </c>
      <c r="E56" s="2222"/>
      <c r="F56" s="2222"/>
      <c r="G56" s="2222"/>
      <c r="H56" s="2222"/>
      <c r="I56" s="2224"/>
      <c r="J56" s="2224"/>
      <c r="K56" s="2223"/>
      <c r="L56" s="1243"/>
      <c r="P56" s="2143"/>
      <c r="Q56" s="2143"/>
      <c r="R56" s="281"/>
      <c r="S56" s="2274"/>
      <c r="T56" s="2324"/>
      <c r="U56" s="218"/>
      <c r="V56" s="1680"/>
      <c r="W56" s="1681" t="str">
        <f>Z52&amp;"-"&amp;AB52</f>
        <v>-</v>
      </c>
      <c r="X56" s="1680"/>
      <c r="Y56" s="1681" t="str">
        <f>AB52&amp;"-"&amp;AD52</f>
        <v>-да</v>
      </c>
      <c r="Z56" s="1680"/>
      <c r="AA56" s="1680"/>
      <c r="AB56" s="1680"/>
      <c r="AC56" s="1680"/>
      <c r="AD56" s="2022"/>
      <c r="AE56" s="232"/>
      <c r="AF56" s="234"/>
      <c r="AG56" s="351" t="s">
        <v>1702</v>
      </c>
      <c r="AH56" s="1680"/>
      <c r="AI56" s="1680"/>
      <c r="AJ56" s="1680"/>
      <c r="AK56" s="1680"/>
      <c r="AL56" s="1680"/>
      <c r="AM56" s="1680"/>
      <c r="AN56" s="1680"/>
      <c r="AO56" s="1680"/>
      <c r="AP56" s="1680"/>
      <c r="AQ56" s="1680"/>
      <c r="AR56" s="1680"/>
      <c r="AS56" s="1680"/>
      <c r="AT56" s="1680"/>
      <c r="AU56" s="1681" t="str">
        <f>AX52&amp;"-"&amp;AZ52</f>
        <v>-</v>
      </c>
      <c r="AV56" s="1680"/>
      <c r="AW56" s="1681" t="str">
        <f>AZ52&amp;"-"&amp;BB52</f>
        <v>-</v>
      </c>
      <c r="AX56" s="1680"/>
      <c r="AY56" s="1680"/>
      <c r="AZ56" s="1680"/>
      <c r="BA56" s="1680"/>
      <c r="BB56" s="1688" t="str">
        <f>BE52&amp;"-"&amp;BG52</f>
        <v>-</v>
      </c>
      <c r="BC56" s="2244"/>
      <c r="BE56" s="428"/>
      <c r="BF56" s="428" t="str">
        <f t="shared" ref="BF56:BF63" si="4">IF(T56="","",T56)</f>
        <v/>
      </c>
      <c r="BG56" s="428"/>
      <c r="BH56" s="428"/>
    </row>
    <row r="57" spans="1:60" ht="11.25" customHeight="1">
      <c r="A57" s="1242" t="s">
        <v>253</v>
      </c>
      <c r="B57" s="1242" t="s">
        <v>254</v>
      </c>
      <c r="C57" s="1242" t="s">
        <v>255</v>
      </c>
      <c r="D57" s="1242" t="s">
        <v>2099</v>
      </c>
      <c r="E57" s="2222"/>
      <c r="F57" s="2222"/>
      <c r="G57" s="2222"/>
      <c r="H57" s="2222"/>
      <c r="I57" s="2224"/>
      <c r="J57" s="2223"/>
      <c r="K57" s="1242"/>
      <c r="L57" s="1243"/>
      <c r="P57" s="2143"/>
      <c r="Q57" s="2143"/>
      <c r="R57" s="280"/>
      <c r="S57" s="1159"/>
      <c r="T57" s="205" t="s">
        <v>1543</v>
      </c>
      <c r="U57" s="294"/>
      <c r="V57" s="294"/>
      <c r="W57" s="294"/>
      <c r="X57" s="294"/>
      <c r="Y57" s="294"/>
      <c r="Z57" s="294"/>
      <c r="AA57" s="294"/>
      <c r="AB57" s="294"/>
      <c r="AC57" s="251"/>
      <c r="AD57" s="1364"/>
      <c r="AE57" s="294"/>
      <c r="AF57" s="294"/>
      <c r="AG57" s="294"/>
      <c r="AH57" s="294"/>
      <c r="AI57" s="294"/>
      <c r="AJ57" s="294"/>
      <c r="AK57" s="294"/>
      <c r="AL57" s="294"/>
      <c r="AM57" s="294"/>
      <c r="AN57" s="294"/>
      <c r="AO57" s="294"/>
      <c r="AP57" s="294"/>
      <c r="AQ57" s="294"/>
      <c r="AR57" s="294"/>
      <c r="AS57" s="294"/>
      <c r="AT57" s="294"/>
      <c r="AU57" s="294"/>
      <c r="AV57" s="294"/>
      <c r="AW57" s="294"/>
      <c r="AX57" s="294"/>
      <c r="AY57" s="294"/>
      <c r="AZ57" s="294"/>
      <c r="BA57" s="294"/>
      <c r="BB57" s="251"/>
      <c r="BC57" s="2245"/>
      <c r="BE57" s="428"/>
      <c r="BF57" s="428" t="str">
        <f t="shared" si="4"/>
        <v>Добавить строку</v>
      </c>
      <c r="BG57" s="428"/>
      <c r="BH57" s="428"/>
    </row>
    <row r="58" spans="1:60" s="1755" customFormat="1" ht="0" hidden="1" customHeight="1">
      <c r="A58" s="1226" t="s">
        <v>253</v>
      </c>
      <c r="B58" s="1226" t="s">
        <v>254</v>
      </c>
      <c r="C58" s="1226" t="s">
        <v>255</v>
      </c>
      <c r="D58" s="1226" t="s">
        <v>2099</v>
      </c>
      <c r="E58" s="2222"/>
      <c r="F58" s="2222"/>
      <c r="G58" s="2222"/>
      <c r="H58" s="2222"/>
      <c r="I58" s="2223"/>
      <c r="J58" s="1226"/>
      <c r="K58" s="1226"/>
      <c r="L58" s="1229"/>
      <c r="M58" s="438"/>
      <c r="N58" s="438"/>
      <c r="O58" s="438"/>
      <c r="P58" s="2143"/>
      <c r="Q58" s="1341"/>
      <c r="R58" s="280"/>
      <c r="S58" s="1264"/>
      <c r="T58" s="1265"/>
      <c r="U58" s="1266"/>
      <c r="V58" s="1266"/>
      <c r="W58" s="1266"/>
      <c r="X58" s="1266"/>
      <c r="Y58" s="1266"/>
      <c r="Z58" s="1266"/>
      <c r="AA58" s="1266"/>
      <c r="AB58" s="1266"/>
      <c r="AC58" s="1266"/>
      <c r="AD58" s="1266"/>
      <c r="AE58" s="1266"/>
      <c r="AF58" s="1266"/>
      <c r="AG58" s="1266"/>
      <c r="AH58" s="1266"/>
      <c r="AI58" s="1266"/>
      <c r="AJ58" s="1266"/>
      <c r="AK58" s="1266"/>
      <c r="AL58" s="1266"/>
      <c r="AM58" s="1266"/>
      <c r="AN58" s="1266"/>
      <c r="AO58" s="1266"/>
      <c r="AP58" s="1266"/>
      <c r="AQ58" s="1266"/>
      <c r="AR58" s="1266"/>
      <c r="AS58" s="1266"/>
      <c r="AT58" s="1266"/>
      <c r="AU58" s="1266"/>
      <c r="AV58" s="1266"/>
      <c r="AW58" s="1266"/>
      <c r="AX58" s="1266"/>
      <c r="AY58" s="1266"/>
      <c r="AZ58" s="1266"/>
      <c r="BA58" s="1266"/>
      <c r="BB58" s="1266"/>
      <c r="BC58" s="1267"/>
      <c r="BE58" s="428"/>
      <c r="BF58" s="428" t="str">
        <f t="shared" si="4"/>
        <v/>
      </c>
      <c r="BG58" s="428"/>
      <c r="BH58" s="428"/>
    </row>
    <row r="59" spans="1:60" s="1755" customFormat="1" ht="0" hidden="1" customHeight="1">
      <c r="A59" s="1226" t="s">
        <v>253</v>
      </c>
      <c r="B59" s="1226" t="s">
        <v>254</v>
      </c>
      <c r="C59" s="1226" t="s">
        <v>255</v>
      </c>
      <c r="D59" s="1226" t="s">
        <v>2099</v>
      </c>
      <c r="E59" s="2222"/>
      <c r="F59" s="2222"/>
      <c r="G59" s="2222"/>
      <c r="H59" s="2221"/>
      <c r="I59" s="1226"/>
      <c r="J59" s="1226"/>
      <c r="K59" s="1226"/>
      <c r="L59" s="1229"/>
      <c r="M59" s="1199"/>
      <c r="N59" s="1199"/>
      <c r="O59" s="446"/>
      <c r="P59" s="311"/>
      <c r="Q59" s="1227"/>
      <c r="R59" s="1273"/>
      <c r="S59" s="1264"/>
      <c r="T59" s="1265"/>
      <c r="U59" s="1266"/>
      <c r="V59" s="1266"/>
      <c r="W59" s="1266"/>
      <c r="X59" s="1266"/>
      <c r="Y59" s="1266"/>
      <c r="Z59" s="1266"/>
      <c r="AA59" s="1266"/>
      <c r="AB59" s="1266"/>
      <c r="AC59" s="1266"/>
      <c r="AD59" s="1266"/>
      <c r="AE59" s="1266"/>
      <c r="AF59" s="1266"/>
      <c r="AG59" s="1266"/>
      <c r="AH59" s="1266"/>
      <c r="AI59" s="1266"/>
      <c r="AJ59" s="1266"/>
      <c r="AK59" s="1266"/>
      <c r="AL59" s="1266"/>
      <c r="AM59" s="1266"/>
      <c r="AN59" s="1266"/>
      <c r="AO59" s="1266"/>
      <c r="AP59" s="1266"/>
      <c r="AQ59" s="1266"/>
      <c r="AR59" s="1266"/>
      <c r="AS59" s="1266"/>
      <c r="AT59" s="1266"/>
      <c r="AU59" s="1266"/>
      <c r="AV59" s="1266"/>
      <c r="AW59" s="1266"/>
      <c r="AX59" s="1266"/>
      <c r="AY59" s="1266"/>
      <c r="AZ59" s="1266"/>
      <c r="BA59" s="1266"/>
      <c r="BB59" s="1266"/>
      <c r="BC59" s="1267"/>
      <c r="BE59" s="428"/>
      <c r="BF59" s="428" t="str">
        <f t="shared" si="4"/>
        <v/>
      </c>
      <c r="BG59" s="428"/>
      <c r="BH59" s="428"/>
    </row>
    <row r="60" spans="1:60" s="1755" customFormat="1" ht="0" hidden="1" customHeight="1">
      <c r="A60" s="1226" t="s">
        <v>253</v>
      </c>
      <c r="B60" s="1226" t="s">
        <v>254</v>
      </c>
      <c r="C60" s="1226" t="s">
        <v>255</v>
      </c>
      <c r="D60" s="1198"/>
      <c r="E60" s="2222"/>
      <c r="F60" s="2222"/>
      <c r="G60" s="2221"/>
      <c r="H60" s="1198"/>
      <c r="I60" s="1198"/>
      <c r="J60" s="1198"/>
      <c r="K60" s="1198"/>
      <c r="L60" s="1354"/>
      <c r="M60" s="1199"/>
      <c r="N60" s="1199"/>
      <c r="P60" s="1200"/>
      <c r="Q60" s="1201"/>
      <c r="R60" s="1200"/>
      <c r="S60" s="1206"/>
      <c r="T60" s="1209"/>
      <c r="U60" s="1208"/>
      <c r="V60" s="1208"/>
      <c r="W60" s="1208"/>
      <c r="X60" s="1208"/>
      <c r="Y60" s="1208"/>
      <c r="Z60" s="1208"/>
      <c r="AA60" s="1208"/>
      <c r="AB60" s="1208"/>
      <c r="AC60" s="1208"/>
      <c r="AD60" s="1208"/>
      <c r="AE60" s="1208"/>
      <c r="AF60" s="1208"/>
      <c r="AG60" s="1208"/>
      <c r="AH60" s="1208"/>
      <c r="AI60" s="1208"/>
      <c r="AJ60" s="1208"/>
      <c r="AK60" s="1208"/>
      <c r="AL60" s="1208"/>
      <c r="AM60" s="1208"/>
      <c r="AN60" s="1208"/>
      <c r="AO60" s="1208"/>
      <c r="AP60" s="1208"/>
      <c r="AQ60" s="1208"/>
      <c r="AR60" s="1208"/>
      <c r="AS60" s="1208"/>
      <c r="AT60" s="1208"/>
      <c r="AU60" s="1208"/>
      <c r="AV60" s="1208"/>
      <c r="AW60" s="1208"/>
      <c r="AX60" s="1208"/>
      <c r="AY60" s="1208"/>
      <c r="AZ60" s="1208"/>
      <c r="BA60" s="1208"/>
      <c r="BB60" s="1208"/>
      <c r="BC60" s="1208"/>
      <c r="BE60" s="695"/>
      <c r="BF60" s="695" t="str">
        <f t="shared" si="4"/>
        <v/>
      </c>
      <c r="BG60" s="695"/>
      <c r="BH60" s="695"/>
    </row>
    <row r="61" spans="1:60" s="1755" customFormat="1" ht="0" hidden="1" customHeight="1">
      <c r="A61" s="1226" t="s">
        <v>253</v>
      </c>
      <c r="B61" s="1226" t="s">
        <v>254</v>
      </c>
      <c r="C61" s="1198"/>
      <c r="D61" s="1198"/>
      <c r="E61" s="2222"/>
      <c r="F61" s="2221"/>
      <c r="G61" s="1198"/>
      <c r="H61" s="1198"/>
      <c r="I61" s="1198"/>
      <c r="J61" s="1198"/>
      <c r="K61" s="1198"/>
      <c r="L61" s="1354"/>
      <c r="M61" s="1205"/>
      <c r="N61" s="1205"/>
      <c r="P61" s="1200"/>
      <c r="Q61" s="1201"/>
      <c r="R61" s="1200"/>
      <c r="S61" s="1206"/>
      <c r="T61" s="1209" t="s">
        <v>1439</v>
      </c>
      <c r="U61" s="1208"/>
      <c r="V61" s="1208"/>
      <c r="W61" s="1208"/>
      <c r="X61" s="1208"/>
      <c r="Y61" s="1208"/>
      <c r="Z61" s="1208"/>
      <c r="AA61" s="1208"/>
      <c r="AB61" s="1208"/>
      <c r="AC61" s="1208"/>
      <c r="AD61" s="1208"/>
      <c r="AE61" s="1208"/>
      <c r="AF61" s="1208"/>
      <c r="AG61" s="1208"/>
      <c r="AH61" s="1208"/>
      <c r="AI61" s="1208"/>
      <c r="AJ61" s="1208"/>
      <c r="AK61" s="1208"/>
      <c r="AL61" s="1208"/>
      <c r="AM61" s="1208"/>
      <c r="AN61" s="1208"/>
      <c r="AO61" s="1208"/>
      <c r="AP61" s="1208"/>
      <c r="AQ61" s="1208"/>
      <c r="AR61" s="1208"/>
      <c r="AS61" s="1208"/>
      <c r="AT61" s="1208"/>
      <c r="AU61" s="1208"/>
      <c r="AV61" s="1208"/>
      <c r="AW61" s="1208"/>
      <c r="AX61" s="1208"/>
      <c r="AY61" s="1208"/>
      <c r="AZ61" s="1208"/>
      <c r="BA61" s="1208"/>
      <c r="BB61" s="1208"/>
      <c r="BC61" s="1208"/>
      <c r="BE61" s="695"/>
      <c r="BF61" s="695" t="str">
        <f t="shared" si="4"/>
        <v>Добавить централизованную систему для дифференциации</v>
      </c>
      <c r="BG61" s="695"/>
      <c r="BH61" s="695"/>
    </row>
    <row r="62" spans="1:60" s="1755" customFormat="1" ht="0" hidden="1" customHeight="1">
      <c r="A62" s="1226" t="s">
        <v>253</v>
      </c>
      <c r="B62" s="1226"/>
      <c r="C62" s="1226"/>
      <c r="D62" s="1226"/>
      <c r="E62" s="2221"/>
      <c r="F62" s="1226"/>
      <c r="G62" s="1226"/>
      <c r="H62" s="1226"/>
      <c r="I62" s="1226"/>
      <c r="J62" s="1226"/>
      <c r="K62" s="1226"/>
      <c r="L62" s="1229"/>
      <c r="M62" s="1205"/>
      <c r="N62" s="1205"/>
      <c r="O62" s="446"/>
      <c r="P62" s="311"/>
      <c r="Q62" s="1227"/>
      <c r="R62" s="311"/>
      <c r="S62" s="1206"/>
      <c r="T62" s="1209" t="s">
        <v>1440</v>
      </c>
      <c r="U62" s="1208"/>
      <c r="V62" s="1208"/>
      <c r="W62" s="1208"/>
      <c r="X62" s="1208"/>
      <c r="Y62" s="1208"/>
      <c r="Z62" s="1208"/>
      <c r="AA62" s="1208"/>
      <c r="AB62" s="1208"/>
      <c r="AC62" s="1208"/>
      <c r="AD62" s="1208"/>
      <c r="AE62" s="1208"/>
      <c r="AF62" s="1208"/>
      <c r="AG62" s="1208"/>
      <c r="AH62" s="1208"/>
      <c r="AI62" s="1208"/>
      <c r="AJ62" s="1208"/>
      <c r="AK62" s="1208"/>
      <c r="AL62" s="1208"/>
      <c r="AM62" s="1208"/>
      <c r="AN62" s="1208"/>
      <c r="AO62" s="1208"/>
      <c r="AP62" s="1208"/>
      <c r="AQ62" s="1208"/>
      <c r="AR62" s="1208"/>
      <c r="AS62" s="1208"/>
      <c r="AT62" s="1208"/>
      <c r="AU62" s="1208"/>
      <c r="AV62" s="1208"/>
      <c r="AW62" s="1208"/>
      <c r="AX62" s="1208"/>
      <c r="AY62" s="1208"/>
      <c r="AZ62" s="1208"/>
      <c r="BA62" s="1208"/>
      <c r="BB62" s="1208"/>
      <c r="BC62" s="1208"/>
      <c r="BE62" s="428"/>
      <c r="BF62" s="428" t="str">
        <f t="shared" si="4"/>
        <v>Добавить территорию для дифференциации</v>
      </c>
      <c r="BG62" s="428"/>
      <c r="BH62" s="428"/>
    </row>
    <row r="63" spans="1:60" s="1755" customFormat="1" ht="0" hidden="1" customHeight="1">
      <c r="A63" s="1198"/>
      <c r="B63" s="1198"/>
      <c r="C63" s="1198"/>
      <c r="D63" s="1198"/>
      <c r="E63" s="1226"/>
      <c r="F63" s="1198"/>
      <c r="G63" s="1198"/>
      <c r="H63" s="1198"/>
      <c r="I63" s="1198"/>
      <c r="J63" s="1198"/>
      <c r="K63" s="1198"/>
      <c r="L63" s="1354"/>
      <c r="M63" s="1205"/>
      <c r="N63" s="1205"/>
      <c r="P63" s="1200"/>
      <c r="Q63" s="1201"/>
      <c r="R63" s="1200"/>
      <c r="S63" s="1206"/>
      <c r="T63" s="1209" t="s">
        <v>1441</v>
      </c>
      <c r="U63" s="1208"/>
      <c r="V63" s="1208"/>
      <c r="W63" s="1208"/>
      <c r="X63" s="1208"/>
      <c r="Y63" s="1208"/>
      <c r="Z63" s="1208"/>
      <c r="AA63" s="1208"/>
      <c r="AB63" s="1208"/>
      <c r="AC63" s="1208"/>
      <c r="AD63" s="1208"/>
      <c r="AE63" s="1208"/>
      <c r="AF63" s="1208"/>
      <c r="AG63" s="1208"/>
      <c r="AH63" s="1208"/>
      <c r="AI63" s="1208"/>
      <c r="AJ63" s="1208"/>
      <c r="AK63" s="1208"/>
      <c r="AL63" s="1208"/>
      <c r="AM63" s="1208"/>
      <c r="AN63" s="1208"/>
      <c r="AO63" s="1208"/>
      <c r="AP63" s="1208"/>
      <c r="AQ63" s="1208"/>
      <c r="AR63" s="1208"/>
      <c r="AS63" s="1208"/>
      <c r="AT63" s="1208"/>
      <c r="AU63" s="1208"/>
      <c r="AV63" s="1208"/>
      <c r="AW63" s="1208"/>
      <c r="AX63" s="1208"/>
      <c r="AY63" s="1208"/>
      <c r="AZ63" s="1208"/>
      <c r="BA63" s="1208"/>
      <c r="BB63" s="1208"/>
      <c r="BC63" s="1208"/>
      <c r="BE63" s="695"/>
      <c r="BF63" s="695" t="str">
        <f t="shared" si="4"/>
        <v>Добавить наименование тарифа</v>
      </c>
      <c r="BG63" s="695"/>
      <c r="BH63" s="695"/>
    </row>
    <row r="64" spans="1:60" ht="11.25" hidden="1" customHeight="1">
      <c r="M64" s="1034"/>
      <c r="N64" s="1034"/>
      <c r="O64" s="464"/>
      <c r="P64" s="1034"/>
      <c r="Q64" s="1034"/>
      <c r="R64" s="1029"/>
      <c r="S64" s="1029"/>
      <c r="BD64" s="1029"/>
      <c r="BE64" s="1029"/>
      <c r="BF64" s="1029"/>
      <c r="BG64" s="1029"/>
      <c r="BH64" s="1029"/>
    </row>
    <row r="65" spans="15:55" ht="18.75" hidden="1" customHeight="1">
      <c r="O65" s="464"/>
      <c r="S65" s="1126" t="s">
        <v>1511</v>
      </c>
      <c r="T65" s="2220" t="s">
        <v>1713</v>
      </c>
      <c r="U65" s="2220"/>
      <c r="V65" s="2220"/>
      <c r="W65" s="2220"/>
      <c r="X65" s="2220"/>
      <c r="Y65" s="2220"/>
      <c r="Z65" s="2220"/>
      <c r="AA65" s="2220"/>
      <c r="AB65" s="2220"/>
      <c r="AC65" s="2220"/>
      <c r="AD65" s="2220"/>
      <c r="AE65" s="2220"/>
      <c r="AF65" s="2220"/>
      <c r="AG65" s="2220"/>
      <c r="AH65" s="2220"/>
      <c r="AI65" s="2220"/>
      <c r="AJ65" s="2220"/>
      <c r="AK65" s="2220"/>
      <c r="AL65" s="2220"/>
      <c r="AM65" s="2220"/>
      <c r="AN65" s="2220"/>
      <c r="AO65" s="2220"/>
      <c r="AP65" s="2220"/>
      <c r="AQ65" s="2220"/>
      <c r="AR65" s="2220"/>
      <c r="AS65" s="2220"/>
      <c r="AT65" s="2220"/>
      <c r="AU65" s="2220"/>
      <c r="AV65" s="2220"/>
      <c r="AW65" s="2220"/>
      <c r="AX65" s="2220"/>
      <c r="AY65" s="2220"/>
      <c r="AZ65" s="2220"/>
      <c r="BA65" s="2220"/>
      <c r="BB65" s="2220"/>
      <c r="BC65" s="2220"/>
    </row>
    <row r="66" spans="15:55" ht="14.25" hidden="1" customHeight="1">
      <c r="O66" s="464"/>
      <c r="T66" s="1340"/>
      <c r="U66" s="1340"/>
      <c r="V66" s="1340"/>
      <c r="W66" s="1340"/>
      <c r="X66" s="1340"/>
      <c r="Y66" s="1340"/>
      <c r="Z66" s="1340"/>
      <c r="AA66" s="1340"/>
      <c r="AB66" s="1340"/>
      <c r="AC66" s="1340"/>
      <c r="AD66" s="1340"/>
      <c r="AE66" s="1340"/>
      <c r="AF66" s="1340"/>
      <c r="AG66" s="1340"/>
      <c r="AH66" s="1340"/>
      <c r="AI66" s="1340"/>
      <c r="AJ66" s="1340"/>
      <c r="AK66" s="1340"/>
      <c r="AL66" s="1340"/>
      <c r="AM66" s="1340"/>
      <c r="AN66" s="1340"/>
      <c r="AO66" s="1340"/>
      <c r="AP66" s="1340"/>
      <c r="AQ66" s="1340"/>
      <c r="AR66" s="1340"/>
      <c r="AS66" s="1340"/>
      <c r="AT66" s="1340"/>
      <c r="AU66" s="1340"/>
      <c r="AV66" s="1340"/>
      <c r="AW66" s="1340"/>
      <c r="AX66" s="1340"/>
      <c r="AY66" s="1340"/>
      <c r="AZ66" s="1340"/>
      <c r="BA66" s="1340"/>
      <c r="BB66" s="1340"/>
      <c r="BC66" s="1340"/>
    </row>
    <row r="67" spans="15:55" ht="18.75" hidden="1" customHeight="1">
      <c r="O67" s="464"/>
      <c r="S67" s="1126" t="s">
        <v>1511</v>
      </c>
      <c r="T67" s="2220" t="s">
        <v>1677</v>
      </c>
      <c r="U67" s="2220"/>
      <c r="V67" s="2220"/>
      <c r="W67" s="2220"/>
      <c r="X67" s="2220"/>
      <c r="Y67" s="2220"/>
      <c r="Z67" s="2220"/>
      <c r="AA67" s="2220"/>
      <c r="AB67" s="2220"/>
      <c r="AC67" s="2220"/>
      <c r="AD67" s="2220"/>
      <c r="AE67" s="2220"/>
      <c r="AF67" s="2220"/>
      <c r="AG67" s="2220"/>
      <c r="AH67" s="2220"/>
      <c r="AI67" s="2220"/>
      <c r="AJ67" s="2220"/>
      <c r="AK67" s="2220"/>
      <c r="AL67" s="2220"/>
      <c r="AM67" s="2220"/>
      <c r="AN67" s="2220"/>
      <c r="AO67" s="2220"/>
      <c r="AP67" s="2220"/>
      <c r="AQ67" s="2220"/>
      <c r="AR67" s="2220"/>
      <c r="AS67" s="2220"/>
      <c r="AT67" s="2220"/>
      <c r="AU67" s="2220"/>
      <c r="AV67" s="2220"/>
      <c r="AW67" s="2220"/>
      <c r="AX67" s="2220"/>
      <c r="AY67" s="2220"/>
      <c r="AZ67" s="2220"/>
      <c r="BA67" s="2220"/>
      <c r="BB67" s="2220"/>
      <c r="BC67" s="2220"/>
    </row>
    <row r="68" spans="15:55" ht="14.25" customHeight="1">
      <c r="O68" s="464"/>
    </row>
  </sheetData>
  <sheetProtection formatColumns="0" formatRows="0" insertRows="0" deleteColumns="0" deleteRows="0" sort="0" autoFilter="0"/>
  <mergeCells count="122">
    <mergeCell ref="E2:E18"/>
    <mergeCell ref="V2:AC2"/>
    <mergeCell ref="AD2:BB2"/>
    <mergeCell ref="F3:F17"/>
    <mergeCell ref="V3:AC3"/>
    <mergeCell ref="AD3:BB3"/>
    <mergeCell ref="G4:G16"/>
    <mergeCell ref="V4:AC4"/>
    <mergeCell ref="AD4:BB4"/>
    <mergeCell ref="H5:H15"/>
    <mergeCell ref="V5:AC5"/>
    <mergeCell ref="AD5:BB5"/>
    <mergeCell ref="I6:I14"/>
    <mergeCell ref="P6:P14"/>
    <mergeCell ref="V6:AC6"/>
    <mergeCell ref="AD6:BB6"/>
    <mergeCell ref="J7:J13"/>
    <mergeCell ref="Q7:Q13"/>
    <mergeCell ref="V7:AC7"/>
    <mergeCell ref="AD7:BB7"/>
    <mergeCell ref="BC8:BC13"/>
    <mergeCell ref="AF8:AF11"/>
    <mergeCell ref="AG8:AG11"/>
    <mergeCell ref="AH8:AH11"/>
    <mergeCell ref="AI8:AI10"/>
    <mergeCell ref="AJ8:AJ10"/>
    <mergeCell ref="AK8:AK10"/>
    <mergeCell ref="K8:K12"/>
    <mergeCell ref="R8:R12"/>
    <mergeCell ref="S8:S12"/>
    <mergeCell ref="T8:T12"/>
    <mergeCell ref="AD8:AD12"/>
    <mergeCell ref="AE8:AE11"/>
    <mergeCell ref="S28:AZ28"/>
    <mergeCell ref="S29:AZ29"/>
    <mergeCell ref="S31:T31"/>
    <mergeCell ref="V31:AB31"/>
    <mergeCell ref="AD31:AZ31"/>
    <mergeCell ref="S32:T32"/>
    <mergeCell ref="V32:AB32"/>
    <mergeCell ref="AD32:AZ32"/>
    <mergeCell ref="AL8:AL10"/>
    <mergeCell ref="AM8:AM9"/>
    <mergeCell ref="AN8:AN9"/>
    <mergeCell ref="AO8:AO9"/>
    <mergeCell ref="AP8:AP9"/>
    <mergeCell ref="S36:T36"/>
    <mergeCell ref="V36:AB36"/>
    <mergeCell ref="AD36:AZ36"/>
    <mergeCell ref="S37:T37"/>
    <mergeCell ref="V37:AB37"/>
    <mergeCell ref="AD37:AZ37"/>
    <mergeCell ref="S33:T33"/>
    <mergeCell ref="V33:AB33"/>
    <mergeCell ref="AD33:AZ33"/>
    <mergeCell ref="S34:T34"/>
    <mergeCell ref="V34:AB34"/>
    <mergeCell ref="AD34:AZ34"/>
    <mergeCell ref="V39:AC39"/>
    <mergeCell ref="AD39:BA39"/>
    <mergeCell ref="S40:BB40"/>
    <mergeCell ref="BC40:BC44"/>
    <mergeCell ref="S41:S44"/>
    <mergeCell ref="T41:T44"/>
    <mergeCell ref="V41:AB41"/>
    <mergeCell ref="AC41:AC44"/>
    <mergeCell ref="AD41:AG44"/>
    <mergeCell ref="AH41:AK44"/>
    <mergeCell ref="AX42:AZ43"/>
    <mergeCell ref="AA44:AB44"/>
    <mergeCell ref="AY44:AZ44"/>
    <mergeCell ref="AA45:AB45"/>
    <mergeCell ref="AY45:AZ45"/>
    <mergeCell ref="E46:E62"/>
    <mergeCell ref="V46:AC46"/>
    <mergeCell ref="AD46:BB46"/>
    <mergeCell ref="F47:F61"/>
    <mergeCell ref="V47:AC47"/>
    <mergeCell ref="AL41:AO44"/>
    <mergeCell ref="AP41:AS44"/>
    <mergeCell ref="AT41:AZ41"/>
    <mergeCell ref="BA41:BA44"/>
    <mergeCell ref="BB41:BB44"/>
    <mergeCell ref="V42:W43"/>
    <mergeCell ref="X42:Y43"/>
    <mergeCell ref="Z42:AB43"/>
    <mergeCell ref="AT42:AU43"/>
    <mergeCell ref="AV42:AW43"/>
    <mergeCell ref="AD47:BB47"/>
    <mergeCell ref="G48:G60"/>
    <mergeCell ref="V48:AC48"/>
    <mergeCell ref="AD48:BB48"/>
    <mergeCell ref="H49:H59"/>
    <mergeCell ref="V49:AC49"/>
    <mergeCell ref="AD49:BB49"/>
    <mergeCell ref="I50:I58"/>
    <mergeCell ref="P50:P58"/>
    <mergeCell ref="V50:AC50"/>
    <mergeCell ref="AD50:BB50"/>
    <mergeCell ref="J51:J57"/>
    <mergeCell ref="Q51:Q57"/>
    <mergeCell ref="V51:AC51"/>
    <mergeCell ref="AD51:BB51"/>
    <mergeCell ref="K52:K56"/>
    <mergeCell ref="S52:S56"/>
    <mergeCell ref="T52:T56"/>
    <mergeCell ref="AD52:AD56"/>
    <mergeCell ref="AE52:AE55"/>
    <mergeCell ref="T65:BC65"/>
    <mergeCell ref="T67:BC67"/>
    <mergeCell ref="AL52:AL54"/>
    <mergeCell ref="AM52:AM53"/>
    <mergeCell ref="AN52:AN53"/>
    <mergeCell ref="AO52:AO53"/>
    <mergeCell ref="AP52:AP53"/>
    <mergeCell ref="BC52:BC57"/>
    <mergeCell ref="AF52:AF55"/>
    <mergeCell ref="AG52:AG55"/>
    <mergeCell ref="AH52:AH55"/>
    <mergeCell ref="AI52:AI54"/>
    <mergeCell ref="AJ52:AJ54"/>
    <mergeCell ref="AK52:AK54"/>
  </mergeCells>
  <dataValidations count="9">
    <dataValidation type="list" allowBlank="1" showInputMessage="1" showErrorMessage="1" errorTitle="Ошибка" error="Выберите значение из списка" sqref="T65589 T131125 T196661 T262197 T327733 T393269 T458805 T524341 T589877 T655413 T720949 T786485 T852021 T917557 T983093">
      <formula1>kind_of_heat_transfer</formula1>
    </dataValidation>
    <dataValidation type="list" allowBlank="1" showInputMessage="1" showErrorMessage="1" errorTitle="Ошибка" error="Выберите значение из списка" sqref="AD917555:AS917555 AD983091:AS983091 AD65587:AS65587 AD131123:AS131123 AD196659:AS196659 AD262195:AS262195 AD327731:AS327731 AD393267:AS393267 AD458803:AS458803 AD524339:AS524339 AD589875:AS589875 AD655411:AS655411 AD720947:AS720947 AD786483:AS786483 AD852019:AS852019">
      <formula1>kind_of_scheme_in</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9 Z131125 Z196661 Z262197 Z327733 Z393269 Z458805 Z524341 Z589877 Z655413 Z720949 Z786485 Z852021 Z917557 Z983093 AB65589 AB131125 AB196661 AB262197 AB327733 AB393269 AB458805 AB524341 AB589877 AB655413 AB720949 AB786485 AB852021 AB917557 AB983093 Z8 AB8 AX65589 AX131125 AX196661 AX262197 AX327733 AX393269 AX458805 AX524341 AX589877 AX655413 AX720949 AX786485 AX852021 AX917557 AX983093 AZ65589 AZ131125 AZ196661 AZ262197 AZ327733 AZ393269 AZ458805 AZ524341 AZ589877 AZ655413 AZ720949 AZ786485 AZ852021 AZ917557 AZ983093 AX52 AX20 AZ8 AZ52 AX8 AZ20 Z52 AB52"/>
    <dataValidation allowBlank="1" promptTitle="checkPeriodRange" sqref="W131126 W196662 W262198 W327734 W393270 W458806 W524342 W589878 W655414 W720950 W786486 W852022 W917558 W983094 AW56 AU12 BB12 AW65590 AW131126 AW196662 AW262198 AW327734 AW393270 AW458806 AW524342 AW589878 AW655414 AW720950 AW786486 AW852022 AW917558 AW983094 Y65590 Y56 W65590 Y131126 Y196662 Y262198 Y327734 Y393270 Y458806 Y524342 Y589878 Y655414 Y720950 Y786486 Y852022 Y917558 Y983094 AU56 Y12 BB56 W12 AW12 W56"/>
    <dataValidation type="textLength" operator="lessThanOrEqual" allowBlank="1" showInputMessage="1" showErrorMessage="1" errorTitle="Ошибка" error="Допускается ввод не более 900 символов!" sqref="BC65583:BC65590 BC131119:BC131126 BC196655:BC196662 BC262191:BC262198 BC327727:BC327734 BC393263:BC393270 BC458799:BC458806 BC524335:BC524342 BC589871:BC589878 BC655407:BC655414 BC720943:BC720950 BC786479:BC786486 BC852015:BC852022 BC917551:BC917558 BC983087:BC983094 AS8 T8:T12 AS52 T52:T56">
      <formula1>900</formula1>
    </dataValidation>
    <dataValidation allowBlank="1" showInputMessage="1" showErrorMessage="1" prompt="Для выбора выполните двойной щелчок левой клавиши мыши по соответствующей ячейке." sqref="AA65589 AA131125 AA196661 AA262197 AA327733 AA393269 AA458805 AA524341 AA589877 AA655413 AA720949 AA786485 AA852021 AA917557 AA983093 AC131125 AC458805 AC196661 AC262197 AC327733 AC393269 AC524341 AC589877 AC655413 AC720949 AC786485 AC852021 AC917557 AC983093 AC65589 AH52:AH53 AY8 AP52 AK52:AL53 AA8 AY65589 AY131125 AY196661 AY262197 AY327733 AY393269 AY458805 AY524341 AY589877 AY655413 AY720949 AY786485 AY852021 AY917557 AY983093 BA458805 BA196661 BA262197 BA327733 BA393269 BA524341 BA589877 BA655413 BA720949 BA786485 BA852021 BA917557 BA983093 BA65589 BA52 AC8:AD8 BA20 BA8 AY52 AK8:AL9 AD20 AG20:AH20 AK20:AL20 AP20 AY20 AH8:AH9 AP8 BA131125 AC52:AD52 AA52"/>
    <dataValidation type="decimal" allowBlank="1" showErrorMessage="1" errorTitle="Ошибка" error="Допускается ввод только действительных чисел!" sqref="AO52:AO53 AG8:AG11 AO8:AO9 AG52:AG55">
      <formula1>-9.99999999999999E+23</formula1>
      <formula2>9.99999999999999E+23</formula2>
    </dataValidation>
    <dataValidation type="list" allowBlank="1" showInputMessage="1" errorTitle="Ошибка" error="Выберите значение из списка" prompt="Выберите значение из списка" sqref="V983092:BB983092 V917556:BB917556 V852020:BB852020 V786484:BB786484 V720948:BB720948 V655412:BB655412 V589876:BB589876 V524340:BB524340 V458804:BB458804 V393268:BB393268 V327732:BB327732 V262196:BB262196 V196660:BB196660 V131124:BB131124 V65588:BB65588">
      <formula1>kind_of_cons</formula1>
    </dataValidation>
    <dataValidation allowBlank="1" sqref="S65591:BC65597 S983095:BC983101 S917559:BC917565 S852023:BC852029 S786487:BC786493 S720951:BC720957 S655415:BC655421 S589879:BC589885 S524343:BC524349 S458807:BC458813 S393271:BC393277 S327735:BC327741 S262199:BC262205 S196663:BC196669 S131127:BC131133"/>
  </dataValidation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39997558519241921"/>
  </sheetPr>
  <dimension ref="A1:AP57"/>
  <sheetViews>
    <sheetView showGridLines="0" topLeftCell="P23" workbookViewId="0"/>
  </sheetViews>
  <sheetFormatPr defaultColWidth="10.5703125" defaultRowHeight="14.25" customHeight="1"/>
  <cols>
    <col min="1" max="1" width="10.5703125" style="1742" hidden="1"/>
    <col min="2" max="2" width="11" style="1742" hidden="1" customWidth="1"/>
    <col min="3" max="3" width="10.5703125" style="1742" hidden="1"/>
    <col min="4" max="4" width="11.85546875" style="1742" hidden="1" customWidth="1"/>
    <col min="5" max="5" width="10" style="1742" hidden="1" customWidth="1"/>
    <col min="6" max="6" width="8.7109375" style="1742" hidden="1" customWidth="1"/>
    <col min="7" max="7" width="7.5703125" style="1742" hidden="1" customWidth="1"/>
    <col min="8" max="8" width="11.42578125" style="1742" hidden="1" customWidth="1"/>
    <col min="9" max="9" width="14.140625" style="1742" hidden="1" customWidth="1"/>
    <col min="10" max="10" width="9.85546875" style="1742" hidden="1" customWidth="1"/>
    <col min="11" max="11" width="14.7109375" style="1742" hidden="1" customWidth="1"/>
    <col min="12" max="12" width="19.140625" style="1741" hidden="1" customWidth="1"/>
    <col min="13" max="14" width="12.28515625" style="1683" hidden="1" customWidth="1"/>
    <col min="15" max="15" width="23.42578125" style="1683" hidden="1" customWidth="1"/>
    <col min="16" max="16" width="3.7109375" style="1720" customWidth="1"/>
    <col min="17" max="18" width="3.7109375" style="1674" customWidth="1"/>
    <col min="19" max="19" width="12.7109375" style="1713" customWidth="1"/>
    <col min="20" max="20" width="35.7109375" style="1829" customWidth="1"/>
    <col min="21" max="21" width="0.140625" style="1829" customWidth="1"/>
    <col min="22" max="24" width="24.7109375" style="1829" hidden="1" customWidth="1"/>
    <col min="25" max="25" width="11.7109375" style="1829" hidden="1" customWidth="1"/>
    <col min="26" max="26" width="3.7109375" style="1829" hidden="1" customWidth="1"/>
    <col min="27" max="27" width="11.7109375" style="1829" hidden="1" customWidth="1"/>
    <col min="28" max="28" width="8.5703125" style="1829" hidden="1" customWidth="1"/>
    <col min="29" max="31" width="24.7109375" style="1829" customWidth="1"/>
    <col min="32" max="32" width="11.7109375" style="1829" customWidth="1"/>
    <col min="33" max="33" width="3.7109375" style="1829" customWidth="1"/>
    <col min="34" max="34" width="11.7109375" style="1829" customWidth="1"/>
    <col min="35" max="35" width="8.5703125" style="1829" hidden="1" customWidth="1"/>
    <col min="36" max="36" width="4.7109375" style="1829" customWidth="1"/>
    <col min="37" max="37" width="115.7109375" style="1829" customWidth="1"/>
    <col min="38" max="39" width="10.5703125" style="1755"/>
    <col min="40" max="40" width="11.140625" style="1755" customWidth="1"/>
    <col min="41" max="42" width="10.5703125" style="1755"/>
  </cols>
  <sheetData>
    <row r="1" spans="1:42" ht="14.25" hidden="1" customHeight="1">
      <c r="X1" s="254"/>
      <c r="Y1" s="254"/>
      <c r="AE1" s="254"/>
      <c r="AF1" s="254"/>
    </row>
    <row r="2" spans="1:42" ht="23.25" hidden="1" customHeight="1">
      <c r="A2" s="1242"/>
      <c r="B2" s="1242"/>
      <c r="C2" s="1242"/>
      <c r="D2" s="1242"/>
      <c r="E2" s="2221">
        <v>1</v>
      </c>
      <c r="F2" s="1242"/>
      <c r="G2" s="1242"/>
      <c r="H2" s="1242"/>
      <c r="I2" s="1242"/>
      <c r="J2" s="1242"/>
      <c r="K2" s="1242"/>
      <c r="L2" s="1243"/>
      <c r="M2" s="1244"/>
      <c r="N2" s="1244"/>
      <c r="O2" s="1244"/>
      <c r="P2" s="285"/>
      <c r="Q2" s="284"/>
      <c r="R2" s="279"/>
      <c r="S2" s="1353" t="e">
        <f>INDEX(PT_DIFFERENTIATION_NUM_NTAR,MATCH(A2,PT_DIFFERENTIATION_NTAR_ID,0))</f>
        <v>#N/A</v>
      </c>
      <c r="T2" s="216" t="s">
        <v>124</v>
      </c>
      <c r="U2" s="218"/>
      <c r="V2" s="2215"/>
      <c r="W2" s="2216"/>
      <c r="X2" s="2216"/>
      <c r="Y2" s="2216"/>
      <c r="Z2" s="2216"/>
      <c r="AA2" s="2216"/>
      <c r="AB2" s="2217"/>
      <c r="AC2" s="2215" t="e">
        <f>INDEX(PT_DIFFERENTIATION_NTAR,MATCH(A2,PT_DIFFERENTIATION_NTAR_ID,0))</f>
        <v>#N/A</v>
      </c>
      <c r="AD2" s="2216"/>
      <c r="AE2" s="2216"/>
      <c r="AF2" s="2216"/>
      <c r="AG2" s="2216"/>
      <c r="AH2" s="2216"/>
      <c r="AI2" s="2216"/>
      <c r="AJ2" s="2217"/>
      <c r="AK2" s="1138"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2" s="428"/>
      <c r="AN2" s="428" t="str">
        <f t="shared" ref="AN2:AN13" si="0">IF(T2="","",T2)</f>
        <v>Наименование тарифа</v>
      </c>
      <c r="AO2" s="428"/>
      <c r="AP2" s="428"/>
    </row>
    <row r="3" spans="1:42" ht="23.25" hidden="1" customHeight="1">
      <c r="A3" s="1242"/>
      <c r="B3" s="1242"/>
      <c r="C3" s="1242"/>
      <c r="D3" s="1242"/>
      <c r="E3" s="2222"/>
      <c r="F3" s="2221">
        <v>1</v>
      </c>
      <c r="G3" s="1242"/>
      <c r="H3" s="1242"/>
      <c r="I3" s="1242"/>
      <c r="J3" s="1242"/>
      <c r="K3" s="1242"/>
      <c r="L3" s="1243"/>
      <c r="M3" s="1244"/>
      <c r="N3" s="1244"/>
      <c r="O3" s="1244"/>
      <c r="P3" s="1347"/>
      <c r="Q3" s="276"/>
      <c r="R3" s="277"/>
      <c r="S3" s="1353" t="e">
        <f>INDEX(PT_DIFFERENTIATION_NUM_TER,MATCH(B3,PT_DIFFERENTIATION_TER_ID,0))</f>
        <v>#N/A</v>
      </c>
      <c r="T3" s="228" t="s">
        <v>1463</v>
      </c>
      <c r="U3" s="218"/>
      <c r="V3" s="2215"/>
      <c r="W3" s="2216"/>
      <c r="X3" s="2216"/>
      <c r="Y3" s="2216"/>
      <c r="Z3" s="2216"/>
      <c r="AA3" s="2216"/>
      <c r="AB3" s="2217"/>
      <c r="AC3" s="2215" t="e">
        <f>INDEX(PT_DIFFERENTIATION_TER,MATCH(B3,PT_DIFFERENTIATION_TER_ID,0))</f>
        <v>#N/A</v>
      </c>
      <c r="AD3" s="2216"/>
      <c r="AE3" s="2216"/>
      <c r="AF3" s="2216"/>
      <c r="AG3" s="2216"/>
      <c r="AH3" s="2216"/>
      <c r="AI3" s="2216"/>
      <c r="AJ3" s="2217"/>
      <c r="AK3" s="1138" t="s">
        <v>1464</v>
      </c>
      <c r="AM3" s="428"/>
      <c r="AN3" s="428" t="str">
        <f t="shared" si="0"/>
        <v>Территория действия тарифа</v>
      </c>
      <c r="AO3" s="428"/>
      <c r="AP3" s="428"/>
    </row>
    <row r="4" spans="1:42" ht="23.25" hidden="1" customHeight="1">
      <c r="A4" s="1242"/>
      <c r="B4" s="1242"/>
      <c r="C4" s="1242"/>
      <c r="D4" s="1242"/>
      <c r="E4" s="2222"/>
      <c r="F4" s="2222"/>
      <c r="G4" s="2221">
        <v>1</v>
      </c>
      <c r="H4" s="1242"/>
      <c r="I4" s="1242"/>
      <c r="J4" s="1242"/>
      <c r="K4" s="1242"/>
      <c r="L4" s="1243"/>
      <c r="M4" s="1244"/>
      <c r="N4" s="1244"/>
      <c r="O4" s="1244"/>
      <c r="P4" s="278"/>
      <c r="Q4" s="276"/>
      <c r="R4" s="277"/>
      <c r="S4" s="1353" t="e">
        <f>INDEX(PT_DIFFERENTIATION_NUM_CS,MATCH(C4,PT_DIFFERENTIATION_CS_ID,0))</f>
        <v>#N/A</v>
      </c>
      <c r="T4" s="229" t="s">
        <v>2100</v>
      </c>
      <c r="U4" s="218"/>
      <c r="V4" s="2215"/>
      <c r="W4" s="2216"/>
      <c r="X4" s="2216"/>
      <c r="Y4" s="2216"/>
      <c r="Z4" s="2216"/>
      <c r="AA4" s="2216"/>
      <c r="AB4" s="2217"/>
      <c r="AC4" s="2215" t="e">
        <f>INDEX(PT_DIFFERENTIATION_CS,MATCH(C4,PT_DIFFERENTIATION_CS_ID,0))</f>
        <v>#N/A</v>
      </c>
      <c r="AD4" s="2216"/>
      <c r="AE4" s="2216"/>
      <c r="AF4" s="2216"/>
      <c r="AG4" s="2216"/>
      <c r="AH4" s="2216"/>
      <c r="AI4" s="2216"/>
      <c r="AJ4" s="2217"/>
      <c r="AK4" s="1138" t="s">
        <v>2101</v>
      </c>
      <c r="AM4" s="428"/>
      <c r="AN4" s="428" t="str">
        <f t="shared" si="0"/>
        <v>Наименование централизованной системы водоотведения</v>
      </c>
      <c r="AO4" s="428"/>
      <c r="AP4" s="428"/>
    </row>
    <row r="5" spans="1:42" ht="23.25" hidden="1" customHeight="1">
      <c r="A5" s="1242"/>
      <c r="B5" s="1242"/>
      <c r="C5" s="1242"/>
      <c r="D5" s="1242"/>
      <c r="E5" s="2222"/>
      <c r="F5" s="2222"/>
      <c r="G5" s="2222"/>
      <c r="H5" s="2222"/>
      <c r="I5" s="2223" t="e">
        <f>S4&amp;".1"</f>
        <v>#N/A</v>
      </c>
      <c r="J5" s="1242"/>
      <c r="K5" s="1242"/>
      <c r="L5" s="1243"/>
      <c r="P5" s="2143">
        <v>1</v>
      </c>
      <c r="Q5" s="1341"/>
      <c r="R5" s="280"/>
      <c r="S5" s="1353" t="e">
        <f>$I5</f>
        <v>#N/A</v>
      </c>
      <c r="T5" s="203" t="s">
        <v>1680</v>
      </c>
      <c r="U5" s="218"/>
      <c r="V5" s="2313"/>
      <c r="W5" s="2314"/>
      <c r="X5" s="2314"/>
      <c r="Y5" s="2314"/>
      <c r="Z5" s="2314"/>
      <c r="AA5" s="2314"/>
      <c r="AB5" s="2315"/>
      <c r="AC5" s="2316"/>
      <c r="AD5" s="2317"/>
      <c r="AE5" s="2317"/>
      <c r="AF5" s="2317"/>
      <c r="AG5" s="2317"/>
      <c r="AH5" s="2317"/>
      <c r="AI5" s="2317"/>
      <c r="AJ5" s="2318"/>
      <c r="AK5" s="1138" t="s">
        <v>1681</v>
      </c>
      <c r="AM5" s="428"/>
      <c r="AN5" s="428" t="str">
        <f t="shared" si="0"/>
        <v>Наименование признака дифференциации</v>
      </c>
      <c r="AO5" s="428"/>
      <c r="AP5" s="428"/>
    </row>
    <row r="6" spans="1:42" ht="23.25" hidden="1" customHeight="1">
      <c r="A6" s="1242"/>
      <c r="B6" s="1242"/>
      <c r="C6" s="1242"/>
      <c r="D6" s="1242"/>
      <c r="E6" s="2222"/>
      <c r="F6" s="2222"/>
      <c r="G6" s="2222"/>
      <c r="H6" s="2222"/>
      <c r="I6" s="2224"/>
      <c r="J6" s="2223" t="e">
        <f>I5&amp;".1"</f>
        <v>#N/A</v>
      </c>
      <c r="K6" s="1242"/>
      <c r="L6" s="1243" t="s">
        <v>1472</v>
      </c>
      <c r="P6" s="2143"/>
      <c r="Q6" s="2143">
        <v>1</v>
      </c>
      <c r="R6" s="281"/>
      <c r="S6" s="1353" t="e">
        <f>$J6</f>
        <v>#N/A</v>
      </c>
      <c r="T6" s="204" t="s">
        <v>1473</v>
      </c>
      <c r="U6" s="218"/>
      <c r="V6" s="2210"/>
      <c r="W6" s="2211"/>
      <c r="X6" s="2211"/>
      <c r="Y6" s="2211"/>
      <c r="Z6" s="2211"/>
      <c r="AA6" s="2211"/>
      <c r="AB6" s="2212"/>
      <c r="AC6" s="2210"/>
      <c r="AD6" s="2211"/>
      <c r="AE6" s="2211"/>
      <c r="AF6" s="2211"/>
      <c r="AG6" s="2211"/>
      <c r="AH6" s="2211"/>
      <c r="AI6" s="2211"/>
      <c r="AJ6" s="2212"/>
      <c r="AK6" s="1192" t="s">
        <v>1682</v>
      </c>
      <c r="AM6" s="428"/>
      <c r="AN6" s="428" t="str">
        <f t="shared" si="0"/>
        <v>Группа потребителей</v>
      </c>
      <c r="AO6" s="428"/>
      <c r="AP6" s="428"/>
    </row>
    <row r="7" spans="1:42" ht="23.25" hidden="1" customHeight="1">
      <c r="A7" s="1242"/>
      <c r="B7" s="1242"/>
      <c r="C7" s="1242"/>
      <c r="D7" s="1242"/>
      <c r="E7" s="2222"/>
      <c r="F7" s="2222"/>
      <c r="G7" s="2222"/>
      <c r="H7" s="2222"/>
      <c r="I7" s="2224"/>
      <c r="J7" s="2224"/>
      <c r="K7" s="2223" t="e">
        <f>J6&amp;".1"</f>
        <v>#N/A</v>
      </c>
      <c r="L7" s="1243"/>
      <c r="P7" s="2143"/>
      <c r="Q7" s="2143"/>
      <c r="R7" s="281">
        <v>1</v>
      </c>
      <c r="S7" s="1353" t="e">
        <f>$K7</f>
        <v>#N/A</v>
      </c>
      <c r="T7" s="1304"/>
      <c r="U7" s="218"/>
      <c r="V7" s="1664"/>
      <c r="W7" s="1664"/>
      <c r="X7" s="1666"/>
      <c r="Y7" s="2225"/>
      <c r="Z7" s="2017" t="s">
        <v>62</v>
      </c>
      <c r="AA7" s="2225"/>
      <c r="AB7" s="2017" t="s">
        <v>62</v>
      </c>
      <c r="AC7" s="1664"/>
      <c r="AD7" s="1664"/>
      <c r="AE7" s="1666"/>
      <c r="AF7" s="2225"/>
      <c r="AG7" s="2017" t="s">
        <v>62</v>
      </c>
      <c r="AH7" s="2227"/>
      <c r="AI7" s="2017" t="s">
        <v>62</v>
      </c>
      <c r="AJ7" s="1703"/>
      <c r="AK7" s="2319"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7" s="439" t="e">
        <f ca="1">STRCHECKDATE(V8:AJ8)</f>
        <v>#NAME?</v>
      </c>
      <c r="AM7" s="428"/>
      <c r="AN7" s="428" t="str">
        <f t="shared" si="0"/>
        <v/>
      </c>
      <c r="AO7" s="428"/>
      <c r="AP7" s="428"/>
    </row>
    <row r="8" spans="1:42" ht="0.75" hidden="1" customHeight="1">
      <c r="A8" s="1242"/>
      <c r="B8" s="1242"/>
      <c r="C8" s="1242"/>
      <c r="D8" s="1242"/>
      <c r="E8" s="2222"/>
      <c r="F8" s="2222"/>
      <c r="G8" s="2222"/>
      <c r="H8" s="2222"/>
      <c r="I8" s="2224"/>
      <c r="J8" s="2224"/>
      <c r="K8" s="2223"/>
      <c r="L8" s="1243"/>
      <c r="P8" s="2143"/>
      <c r="Q8" s="2143"/>
      <c r="R8" s="281"/>
      <c r="S8" s="1350"/>
      <c r="T8" s="218"/>
      <c r="U8" s="218"/>
      <c r="V8" s="1665"/>
      <c r="W8" s="1665"/>
      <c r="X8" s="1667" t="str">
        <f>Y7&amp;"-"&amp;AA7</f>
        <v>-</v>
      </c>
      <c r="Y8" s="2226"/>
      <c r="Z8" s="2017"/>
      <c r="AA8" s="2226"/>
      <c r="AB8" s="2017"/>
      <c r="AC8" s="1665"/>
      <c r="AD8" s="1665"/>
      <c r="AE8" s="1667" t="str">
        <f>AF7&amp;"-"&amp;AH7</f>
        <v>-</v>
      </c>
      <c r="AF8" s="2226"/>
      <c r="AG8" s="2017"/>
      <c r="AH8" s="2228"/>
      <c r="AI8" s="2017"/>
      <c r="AJ8" s="1704"/>
      <c r="AK8" s="2319"/>
      <c r="AM8" s="428"/>
      <c r="AN8" s="428" t="str">
        <f t="shared" si="0"/>
        <v/>
      </c>
      <c r="AO8" s="428"/>
      <c r="AP8" s="428"/>
    </row>
    <row r="9" spans="1:42" ht="21" hidden="1" customHeight="1">
      <c r="A9" s="1242"/>
      <c r="B9" s="1242"/>
      <c r="C9" s="1242"/>
      <c r="D9" s="1242"/>
      <c r="E9" s="2222"/>
      <c r="F9" s="2222"/>
      <c r="G9" s="2222"/>
      <c r="H9" s="2222"/>
      <c r="I9" s="2224"/>
      <c r="J9" s="2223"/>
      <c r="K9" s="1242"/>
      <c r="L9" s="1243"/>
      <c r="P9" s="2143"/>
      <c r="Q9" s="2143"/>
      <c r="R9" s="280"/>
      <c r="S9" s="1159"/>
      <c r="T9" s="205" t="s">
        <v>1683</v>
      </c>
      <c r="U9" s="294"/>
      <c r="V9" s="294"/>
      <c r="W9" s="294"/>
      <c r="X9" s="294"/>
      <c r="Y9" s="294"/>
      <c r="Z9" s="294"/>
      <c r="AA9" s="294"/>
      <c r="AB9" s="294"/>
      <c r="AC9" s="294"/>
      <c r="AD9" s="294"/>
      <c r="AE9" s="294"/>
      <c r="AF9" s="294"/>
      <c r="AG9" s="294"/>
      <c r="AH9" s="294"/>
      <c r="AI9" s="294"/>
      <c r="AJ9" s="294"/>
      <c r="AK9" s="1138" t="s">
        <v>1684</v>
      </c>
      <c r="AM9" s="428"/>
      <c r="AN9" s="428" t="str">
        <f t="shared" si="0"/>
        <v>Добавить значение признака дифференциации</v>
      </c>
      <c r="AO9" s="428"/>
      <c r="AP9" s="428"/>
    </row>
    <row r="10" spans="1:42" ht="21" hidden="1" customHeight="1">
      <c r="A10" s="1242"/>
      <c r="B10" s="1242"/>
      <c r="C10" s="1242"/>
      <c r="D10" s="1242"/>
      <c r="E10" s="2222"/>
      <c r="F10" s="2222"/>
      <c r="G10" s="2222"/>
      <c r="H10" s="2222"/>
      <c r="I10" s="2223"/>
      <c r="J10" s="1242"/>
      <c r="K10" s="1242"/>
      <c r="L10" s="1243"/>
      <c r="P10" s="2143"/>
      <c r="Q10" s="1341"/>
      <c r="R10" s="280"/>
      <c r="S10" s="1159"/>
      <c r="T10" s="291" t="s">
        <v>1478</v>
      </c>
      <c r="U10" s="294"/>
      <c r="V10" s="294"/>
      <c r="W10" s="294"/>
      <c r="X10" s="294"/>
      <c r="Y10" s="294"/>
      <c r="Z10" s="294"/>
      <c r="AA10" s="294"/>
      <c r="AB10" s="293"/>
      <c r="AC10" s="294"/>
      <c r="AD10" s="294"/>
      <c r="AE10" s="294"/>
      <c r="AF10" s="294"/>
      <c r="AG10" s="294"/>
      <c r="AH10" s="294"/>
      <c r="AI10" s="293"/>
      <c r="AJ10" s="294"/>
      <c r="AK10" s="1305"/>
      <c r="AM10" s="428"/>
      <c r="AN10" s="428" t="str">
        <f t="shared" si="0"/>
        <v>Добавить группу потребителей</v>
      </c>
      <c r="AO10" s="428"/>
      <c r="AP10" s="428"/>
    </row>
    <row r="11" spans="1:42" ht="21" hidden="1" customHeight="1">
      <c r="A11" s="1242"/>
      <c r="B11" s="1242"/>
      <c r="C11" s="1242"/>
      <c r="D11" s="1242"/>
      <c r="E11" s="2222"/>
      <c r="F11" s="2222"/>
      <c r="G11" s="2222"/>
      <c r="H11" s="2221"/>
      <c r="I11" s="1242"/>
      <c r="J11" s="1242"/>
      <c r="K11" s="1242"/>
      <c r="L11" s="1243"/>
      <c r="M11" s="1244"/>
      <c r="N11" s="1244"/>
      <c r="O11" s="464"/>
      <c r="P11" s="284"/>
      <c r="Q11" s="303"/>
      <c r="R11" s="279"/>
      <c r="S11" s="1159"/>
      <c r="T11" s="299" t="s">
        <v>1685</v>
      </c>
      <c r="U11" s="294"/>
      <c r="V11" s="294"/>
      <c r="W11" s="294"/>
      <c r="X11" s="294"/>
      <c r="Y11" s="294"/>
      <c r="Z11" s="294"/>
      <c r="AA11" s="294"/>
      <c r="AB11" s="293"/>
      <c r="AC11" s="294"/>
      <c r="AD11" s="294"/>
      <c r="AE11" s="294"/>
      <c r="AF11" s="294"/>
      <c r="AG11" s="294"/>
      <c r="AH11" s="294"/>
      <c r="AI11" s="293"/>
      <c r="AJ11" s="294"/>
      <c r="AK11" s="221"/>
      <c r="AM11" s="428"/>
      <c r="AN11" s="428" t="str">
        <f t="shared" si="0"/>
        <v>Добавить наименование признака дифференциации</v>
      </c>
      <c r="AO11" s="428"/>
      <c r="AP11" s="428"/>
    </row>
    <row r="12" spans="1:42" s="1755" customFormat="1" ht="0.75" hidden="1" customHeight="1">
      <c r="A12" s="1226"/>
      <c r="B12" s="1226"/>
      <c r="C12" s="1198"/>
      <c r="D12" s="1198"/>
      <c r="E12" s="2222"/>
      <c r="F12" s="2221"/>
      <c r="G12" s="1198"/>
      <c r="H12" s="1198"/>
      <c r="I12" s="1198"/>
      <c r="J12" s="1198"/>
      <c r="K12" s="1198"/>
      <c r="L12" s="1354"/>
      <c r="M12" s="1205"/>
      <c r="N12" s="1205"/>
      <c r="P12" s="1200"/>
      <c r="Q12" s="1201"/>
      <c r="R12" s="1200"/>
      <c r="S12" s="1206"/>
      <c r="T12" s="1209" t="s">
        <v>1439</v>
      </c>
      <c r="U12" s="1208"/>
      <c r="V12" s="1208"/>
      <c r="W12" s="1208"/>
      <c r="X12" s="1208"/>
      <c r="Y12" s="1208"/>
      <c r="Z12" s="1208"/>
      <c r="AA12" s="1208"/>
      <c r="AB12" s="1208"/>
      <c r="AC12" s="1208"/>
      <c r="AD12" s="1208"/>
      <c r="AE12" s="1208"/>
      <c r="AF12" s="1208"/>
      <c r="AG12" s="1208"/>
      <c r="AH12" s="1208"/>
      <c r="AI12" s="1208"/>
      <c r="AJ12" s="1208"/>
      <c r="AK12" s="1208"/>
      <c r="AM12" s="695"/>
      <c r="AN12" s="695" t="str">
        <f t="shared" si="0"/>
        <v>Добавить централизованную систему для дифференциации</v>
      </c>
      <c r="AO12" s="695"/>
      <c r="AP12" s="695"/>
    </row>
    <row r="13" spans="1:42" s="1755" customFormat="1" ht="0.75" hidden="1" customHeight="1">
      <c r="A13" s="1226"/>
      <c r="B13" s="1226"/>
      <c r="C13" s="1226"/>
      <c r="D13" s="1226"/>
      <c r="E13" s="2221"/>
      <c r="F13" s="1226"/>
      <c r="G13" s="1226"/>
      <c r="H13" s="1226"/>
      <c r="I13" s="1226"/>
      <c r="J13" s="1226"/>
      <c r="K13" s="1226"/>
      <c r="L13" s="1229"/>
      <c r="M13" s="1205"/>
      <c r="N13" s="1205"/>
      <c r="O13" s="446"/>
      <c r="P13" s="311"/>
      <c r="Q13" s="1227"/>
      <c r="R13" s="311"/>
      <c r="S13" s="1206"/>
      <c r="T13" s="1209" t="s">
        <v>1440</v>
      </c>
      <c r="U13" s="1208"/>
      <c r="V13" s="1208"/>
      <c r="W13" s="1208"/>
      <c r="X13" s="1208"/>
      <c r="Y13" s="1208"/>
      <c r="Z13" s="1208"/>
      <c r="AA13" s="1208"/>
      <c r="AB13" s="1208"/>
      <c r="AC13" s="1208"/>
      <c r="AD13" s="1208"/>
      <c r="AE13" s="1208"/>
      <c r="AF13" s="1208"/>
      <c r="AG13" s="1208"/>
      <c r="AH13" s="1208"/>
      <c r="AI13" s="1208"/>
      <c r="AJ13" s="1208"/>
      <c r="AK13" s="1208"/>
      <c r="AM13" s="428"/>
      <c r="AN13" s="428" t="str">
        <f t="shared" si="0"/>
        <v>Добавить территорию для дифференциации</v>
      </c>
      <c r="AO13" s="428"/>
      <c r="AP13" s="428"/>
    </row>
    <row r="14" spans="1:42" ht="14.25" hidden="1" customHeight="1">
      <c r="AB14" s="254"/>
      <c r="AI14" s="254"/>
    </row>
    <row r="15" spans="1:42" ht="14.25" hidden="1" customHeight="1">
      <c r="AC15" s="1668"/>
      <c r="AD15" s="1668"/>
      <c r="AE15" s="1669"/>
      <c r="AF15" s="2219"/>
      <c r="AG15" s="2218" t="s">
        <v>62</v>
      </c>
      <c r="AH15" s="2219"/>
      <c r="AI15" s="2218" t="s">
        <v>62</v>
      </c>
    </row>
    <row r="16" spans="1:42" ht="14.25" hidden="1" customHeight="1">
      <c r="AC16" s="1668"/>
      <c r="AD16" s="1668"/>
      <c r="AE16" s="1667" t="str">
        <f>AF15&amp;"-"&amp;AH15</f>
        <v>-</v>
      </c>
      <c r="AF16" s="2218"/>
      <c r="AG16" s="2218"/>
      <c r="AH16" s="2218"/>
      <c r="AI16" s="2218"/>
    </row>
    <row r="17" spans="1:42" ht="14.25" hidden="1" customHeight="1">
      <c r="AI17" s="254"/>
    </row>
    <row r="18" spans="1:42" s="1742" customFormat="1" ht="14.25" hidden="1" customHeight="1">
      <c r="L18" s="1338"/>
      <c r="M18" s="1241"/>
      <c r="N18" s="1241"/>
      <c r="O18" s="1246" t="s">
        <v>1480</v>
      </c>
      <c r="P18" s="1241"/>
      <c r="Q18" s="1250"/>
      <c r="R18" s="1250"/>
      <c r="S18" s="643"/>
      <c r="Y18" s="1246"/>
      <c r="AA18" s="1246"/>
      <c r="AB18" s="1245"/>
      <c r="AF18" s="1246"/>
      <c r="AH18" s="1246"/>
      <c r="AI18" s="1245"/>
      <c r="AL18" s="439"/>
      <c r="AM18" s="439"/>
      <c r="AN18" s="439"/>
      <c r="AO18" s="439"/>
      <c r="AP18" s="439"/>
    </row>
    <row r="19" spans="1:42" s="1742" customFormat="1" ht="14.25" hidden="1" customHeight="1">
      <c r="L19" s="1338"/>
      <c r="M19" s="1241"/>
      <c r="N19" s="1241"/>
      <c r="O19" s="1241"/>
      <c r="P19" s="1241"/>
      <c r="Q19" s="1250"/>
      <c r="R19" s="1250"/>
      <c r="S19" s="643"/>
      <c r="AB19" s="1245"/>
      <c r="AI19" s="1245"/>
      <c r="AL19" s="439"/>
      <c r="AM19" s="439"/>
      <c r="AN19" s="439"/>
      <c r="AO19" s="439"/>
      <c r="AP19" s="439"/>
    </row>
    <row r="20" spans="1:42" s="1742" customFormat="1" ht="12" hidden="1" customHeight="1">
      <c r="L20" s="1338"/>
      <c r="M20" s="1241"/>
      <c r="N20" s="1241"/>
      <c r="O20" s="1243" t="s">
        <v>1481</v>
      </c>
      <c r="P20" s="1241"/>
      <c r="Q20" s="1306"/>
      <c r="R20" s="1306"/>
      <c r="S20" s="643"/>
      <c r="T20" s="1034" t="s">
        <v>1482</v>
      </c>
      <c r="Z20" s="111" t="s">
        <v>1483</v>
      </c>
      <c r="AB20" s="111" t="s">
        <v>1484</v>
      </c>
      <c r="AC20" s="1034" t="s">
        <v>1482</v>
      </c>
      <c r="AG20" s="111" t="s">
        <v>1485</v>
      </c>
      <c r="AI20" s="111" t="s">
        <v>1484</v>
      </c>
    </row>
    <row r="21" spans="1:42" ht="14.25" hidden="1" customHeight="1">
      <c r="O21" s="1243"/>
    </row>
    <row r="22" spans="1:42" ht="14.25" hidden="1" customHeight="1">
      <c r="O22" s="1243"/>
    </row>
    <row r="23" spans="1:42" ht="14.25" customHeight="1">
      <c r="Q23" s="304"/>
      <c r="R23" s="304"/>
      <c r="S23" s="1156"/>
      <c r="T23" s="289"/>
      <c r="U23" s="289"/>
      <c r="V23" s="437"/>
      <c r="W23" s="437"/>
      <c r="X23" s="437"/>
      <c r="Y23" s="437"/>
      <c r="Z23" s="437"/>
      <c r="AA23" s="437"/>
      <c r="AB23" s="437"/>
      <c r="AC23" s="437"/>
      <c r="AD23" s="437"/>
      <c r="AE23" s="437"/>
      <c r="AF23" s="437"/>
      <c r="AG23" s="437"/>
      <c r="AH23" s="437"/>
      <c r="AI23" s="437"/>
    </row>
    <row r="24" spans="1:42" ht="32.25" customHeight="1">
      <c r="Q24" s="304"/>
      <c r="R24" s="304"/>
      <c r="S24" s="2065" t="str">
        <f>IF(TEMPLATE_GROUP="P",PT_P_FORM_VOTV_4_NAME_FORM,PT_R_FORM_VOTV_16_NAME_FORM)</f>
        <v>Форма 16. Информация о предложении расчетной величины тарифов организации водоотведения об установлении тарифов в сфере водоотведения на очередной период регулирования &lt;1&gt;</v>
      </c>
      <c r="T24" s="2065"/>
      <c r="U24" s="2065"/>
      <c r="V24" s="2065"/>
      <c r="W24" s="2065"/>
      <c r="X24" s="2065"/>
      <c r="Y24" s="2065"/>
      <c r="Z24" s="2065"/>
      <c r="AA24" s="2065"/>
      <c r="AB24" s="2065"/>
      <c r="AC24" s="2065"/>
      <c r="AD24" s="2065"/>
      <c r="AE24" s="2065"/>
      <c r="AF24" s="2065"/>
      <c r="AG24" s="2065"/>
      <c r="AH24" s="2065"/>
      <c r="AI24" s="1114"/>
    </row>
    <row r="25" spans="1:42" ht="14.25" customHeight="1">
      <c r="Q25" s="304"/>
      <c r="R25" s="304"/>
      <c r="S25" s="2088" t="str">
        <f>IF(org=0,"Не определено",org)</f>
        <v>МУП г. Астрахани "Коммунэнерго"</v>
      </c>
      <c r="T25" s="2088"/>
      <c r="U25" s="2088"/>
      <c r="V25" s="2088"/>
      <c r="W25" s="2088"/>
      <c r="X25" s="2088"/>
      <c r="Y25" s="2088"/>
      <c r="Z25" s="2088"/>
      <c r="AA25" s="2088"/>
      <c r="AB25" s="2088"/>
      <c r="AC25" s="2088"/>
      <c r="AD25" s="2088"/>
      <c r="AE25" s="2088"/>
      <c r="AF25" s="2088"/>
      <c r="AG25" s="2088"/>
      <c r="AH25" s="2088"/>
      <c r="AI25" s="1114"/>
    </row>
    <row r="26" spans="1:42" ht="14.25" hidden="1" customHeight="1">
      <c r="Q26" s="304"/>
      <c r="R26" s="304"/>
      <c r="S26" s="1156"/>
      <c r="T26" s="289"/>
      <c r="U26" s="289"/>
      <c r="V26" s="248"/>
      <c r="W26" s="248"/>
      <c r="X26" s="248"/>
      <c r="Y26" s="248"/>
      <c r="Z26" s="248"/>
      <c r="AA26" s="248"/>
      <c r="AB26" s="248"/>
      <c r="AC26" s="248"/>
      <c r="AD26" s="248"/>
      <c r="AE26" s="248"/>
      <c r="AF26" s="248"/>
      <c r="AG26" s="248"/>
      <c r="AH26" s="248"/>
      <c r="AI26" s="248"/>
      <c r="AJ26" s="437"/>
    </row>
    <row r="27" spans="1:42" s="1933" customFormat="1" ht="25.5" hidden="1" customHeight="1">
      <c r="A27" s="1247"/>
      <c r="B27" s="1247"/>
      <c r="C27" s="1247"/>
      <c r="D27" s="1247"/>
      <c r="E27" s="1247"/>
      <c r="F27" s="1247"/>
      <c r="G27" s="1247"/>
      <c r="H27" s="1247"/>
      <c r="I27" s="1247"/>
      <c r="J27" s="1247"/>
      <c r="K27" s="1247"/>
      <c r="L27" s="1248"/>
      <c r="M27" s="1247"/>
      <c r="N27" s="1247"/>
      <c r="O27" s="1247"/>
      <c r="S27" s="2213" t="s">
        <v>38</v>
      </c>
      <c r="T27" s="2213"/>
      <c r="U27" s="1251"/>
      <c r="V27" s="2214" t="str">
        <f>IF(TITLE_NAME_OR_PR_CHANGE="",IF(TITLE_NAME_OR_PR="","",TITLE_NAME_OR_PR),TITLE_NAME_OR_PR_CHANGE)</f>
        <v/>
      </c>
      <c r="W27" s="2214"/>
      <c r="X27" s="2214"/>
      <c r="Y27" s="2214"/>
      <c r="Z27" s="2214"/>
      <c r="AA27" s="2214"/>
      <c r="AB27" s="253"/>
      <c r="AC27" s="2214" t="str">
        <f>IF(TITLE_NAME_OR_PR_CHANGE="",IF(TITLE_NAME_OR_PR="","",TITLE_NAME_OR_PR),TITLE_NAME_OR_PR_CHANGE)</f>
        <v/>
      </c>
      <c r="AD27" s="2214"/>
      <c r="AE27" s="2214"/>
      <c r="AF27" s="2214"/>
      <c r="AG27" s="2214"/>
      <c r="AH27" s="2214"/>
      <c r="AI27" s="253"/>
      <c r="AJ27" s="253"/>
      <c r="AK27" s="199"/>
      <c r="AL27" s="295"/>
      <c r="AM27" s="295"/>
      <c r="AN27" s="295"/>
      <c r="AO27" s="295"/>
      <c r="AP27" s="295"/>
    </row>
    <row r="28" spans="1:42" s="1933" customFormat="1" ht="18.75" hidden="1" customHeight="1">
      <c r="A28" s="1247"/>
      <c r="B28" s="1247"/>
      <c r="C28" s="1247"/>
      <c r="D28" s="1247"/>
      <c r="E28" s="1247"/>
      <c r="F28" s="1247"/>
      <c r="G28" s="1247"/>
      <c r="H28" s="1247"/>
      <c r="I28" s="1247"/>
      <c r="J28" s="1247"/>
      <c r="K28" s="1247"/>
      <c r="L28" s="1248"/>
      <c r="M28" s="1247"/>
      <c r="N28" s="1247"/>
      <c r="O28" s="1247"/>
      <c r="S28" s="2213" t="s">
        <v>1486</v>
      </c>
      <c r="T28" s="2213"/>
      <c r="U28" s="1251"/>
      <c r="V28" s="2214" t="str">
        <f>IF(TITLE_DATE_CHANGE_PERIOD="",IF(TITLE_DATE_PR="","",TITLE_DATE_PR),TITLE_DATE_CHANGE_PERIOD)</f>
        <v/>
      </c>
      <c r="W28" s="2214"/>
      <c r="X28" s="2214"/>
      <c r="Y28" s="2214"/>
      <c r="Z28" s="2214"/>
      <c r="AA28" s="2214"/>
      <c r="AB28" s="253"/>
      <c r="AC28" s="2214" t="str">
        <f>IF(TITLE_DATE_CHANGE_PERIOD="",IF(TITLE_DATE_PR="","",TITLE_DATE_PR),TITLE_DATE_CHANGE_PERIOD)</f>
        <v/>
      </c>
      <c r="AD28" s="2214"/>
      <c r="AE28" s="2214"/>
      <c r="AF28" s="2214"/>
      <c r="AG28" s="2214"/>
      <c r="AH28" s="2214"/>
      <c r="AI28" s="253"/>
      <c r="AJ28" s="253"/>
      <c r="AK28" s="199"/>
      <c r="AL28" s="295"/>
      <c r="AM28" s="295"/>
      <c r="AN28" s="295"/>
      <c r="AO28" s="295"/>
      <c r="AP28" s="295"/>
    </row>
    <row r="29" spans="1:42" s="1933" customFormat="1" ht="18.75" hidden="1" customHeight="1">
      <c r="A29" s="1247"/>
      <c r="B29" s="1247"/>
      <c r="C29" s="1247"/>
      <c r="D29" s="1247"/>
      <c r="E29" s="1247"/>
      <c r="F29" s="1247"/>
      <c r="G29" s="1247"/>
      <c r="H29" s="1247"/>
      <c r="I29" s="1247"/>
      <c r="J29" s="1247"/>
      <c r="K29" s="1247"/>
      <c r="L29" s="1248"/>
      <c r="M29" s="1247"/>
      <c r="N29" s="1247"/>
      <c r="O29" s="1247"/>
      <c r="S29" s="2213" t="s">
        <v>1487</v>
      </c>
      <c r="T29" s="2213"/>
      <c r="U29" s="1251"/>
      <c r="V29" s="2214" t="str">
        <f>IF(TITLE_NUMBER_PR_CHANGE="",IF(TITLE_NUMBER_PR="","",TITLE_NUMBER_PR),TITLE_NUMBER_PR_CHANGE)</f>
        <v/>
      </c>
      <c r="W29" s="2214"/>
      <c r="X29" s="2214"/>
      <c r="Y29" s="2214"/>
      <c r="Z29" s="2214"/>
      <c r="AA29" s="2214"/>
      <c r="AB29" s="253"/>
      <c r="AC29" s="2214" t="str">
        <f>IF(TITLE_NUMBER_PR_CHANGE="",IF(TITLE_NUMBER_PR="","",TITLE_NUMBER_PR),TITLE_NUMBER_PR_CHANGE)</f>
        <v/>
      </c>
      <c r="AD29" s="2214"/>
      <c r="AE29" s="2214"/>
      <c r="AF29" s="2214"/>
      <c r="AG29" s="2214"/>
      <c r="AH29" s="2214"/>
      <c r="AI29" s="253"/>
      <c r="AJ29" s="253"/>
      <c r="AK29" s="199"/>
      <c r="AL29" s="295"/>
      <c r="AM29" s="295"/>
      <c r="AN29" s="295"/>
      <c r="AO29" s="295"/>
      <c r="AP29" s="295"/>
    </row>
    <row r="30" spans="1:42" s="1933" customFormat="1" ht="18.75" hidden="1" customHeight="1">
      <c r="A30" s="1247"/>
      <c r="B30" s="1247"/>
      <c r="C30" s="1247"/>
      <c r="D30" s="1247"/>
      <c r="E30" s="1247"/>
      <c r="F30" s="1247"/>
      <c r="G30" s="1247"/>
      <c r="H30" s="1247"/>
      <c r="I30" s="1247"/>
      <c r="J30" s="1247"/>
      <c r="K30" s="1247"/>
      <c r="L30" s="1248"/>
      <c r="M30" s="1247"/>
      <c r="N30" s="1247"/>
      <c r="O30" s="1247"/>
      <c r="S30" s="2213" t="s">
        <v>39</v>
      </c>
      <c r="T30" s="2213"/>
      <c r="U30" s="1251"/>
      <c r="V30" s="2214" t="str">
        <f>IF(TITLE_IST_PUB_CHANGE="",IF(TITLE_IST_PUB="","",TITLE_IST_PUB),TITLE_IST_PUB_CHANGE)</f>
        <v/>
      </c>
      <c r="W30" s="2214"/>
      <c r="X30" s="2214"/>
      <c r="Y30" s="2214"/>
      <c r="Z30" s="2214"/>
      <c r="AA30" s="2214"/>
      <c r="AB30" s="253"/>
      <c r="AC30" s="2214" t="str">
        <f>IF(TITLE_IST_PUB_CHANGE="",IF(TITLE_IST_PUB="","",TITLE_IST_PUB),TITLE_IST_PUB_CHANGE)</f>
        <v/>
      </c>
      <c r="AD30" s="2214"/>
      <c r="AE30" s="2214"/>
      <c r="AF30" s="2214"/>
      <c r="AG30" s="2214"/>
      <c r="AH30" s="2214"/>
      <c r="AI30" s="253"/>
      <c r="AJ30" s="253"/>
      <c r="AK30" s="199"/>
      <c r="AL30" s="295"/>
      <c r="AM30" s="295"/>
      <c r="AN30" s="295"/>
      <c r="AO30" s="295"/>
      <c r="AP30" s="295"/>
    </row>
    <row r="31" spans="1:42" ht="14.25" hidden="1" customHeight="1">
      <c r="Q31" s="304"/>
      <c r="R31" s="304"/>
      <c r="S31" s="1156"/>
      <c r="T31" s="289"/>
      <c r="U31" s="289"/>
      <c r="V31" s="248"/>
      <c r="W31" s="248"/>
      <c r="X31" s="248"/>
      <c r="Y31" s="248"/>
      <c r="Z31" s="248"/>
      <c r="AA31" s="248"/>
      <c r="AB31" s="248"/>
      <c r="AC31" s="248"/>
      <c r="AD31" s="248"/>
      <c r="AE31" s="248"/>
      <c r="AF31" s="248"/>
      <c r="AG31" s="248"/>
      <c r="AH31" s="248"/>
      <c r="AI31" s="248"/>
      <c r="AJ31" s="437"/>
    </row>
    <row r="32" spans="1:42" s="1933" customFormat="1" ht="18.75" hidden="1" customHeight="1">
      <c r="A32" s="1247"/>
      <c r="B32" s="1247"/>
      <c r="C32" s="1247"/>
      <c r="D32" s="1247"/>
      <c r="E32" s="1247"/>
      <c r="F32" s="1247"/>
      <c r="G32" s="1247"/>
      <c r="H32" s="1247"/>
      <c r="I32" s="1247"/>
      <c r="J32" s="1247"/>
      <c r="K32" s="1247"/>
      <c r="L32" s="1248"/>
      <c r="M32" s="1247"/>
      <c r="N32" s="1247"/>
      <c r="O32" s="1247"/>
      <c r="S32" s="2213" t="s">
        <v>1488</v>
      </c>
      <c r="T32" s="2213"/>
      <c r="U32" s="1251"/>
      <c r="V32" s="2214" t="str">
        <f>IF(TITLE_DATE_CHANGE_PERIOD="",IF(TITLE_DATE_PR="","",TITLE_DATE_PR),TITLE_DATE_CHANGE_PERIOD)</f>
        <v/>
      </c>
      <c r="W32" s="2214"/>
      <c r="X32" s="2214"/>
      <c r="Y32" s="2214"/>
      <c r="Z32" s="2214"/>
      <c r="AA32" s="2214"/>
      <c r="AB32" s="253"/>
      <c r="AC32" s="2214" t="str">
        <f>IF(TITLE_DATE_CHANGE_PERIOD="",IF(TITLE_DATE_PR="","",TITLE_DATE_PR),TITLE_DATE_CHANGE_PERIOD)</f>
        <v/>
      </c>
      <c r="AD32" s="2214"/>
      <c r="AE32" s="2214"/>
      <c r="AF32" s="2214"/>
      <c r="AG32" s="2214"/>
      <c r="AH32" s="2214"/>
      <c r="AI32" s="253"/>
      <c r="AJ32" s="253"/>
      <c r="AK32" s="199"/>
      <c r="AL32" s="295"/>
      <c r="AM32" s="295"/>
      <c r="AN32" s="295"/>
      <c r="AO32" s="295"/>
      <c r="AP32" s="295"/>
    </row>
    <row r="33" spans="1:42" s="1933" customFormat="1" ht="18.75" hidden="1" customHeight="1">
      <c r="A33" s="1247"/>
      <c r="B33" s="1247"/>
      <c r="C33" s="1247"/>
      <c r="D33" s="1247"/>
      <c r="E33" s="1247"/>
      <c r="F33" s="1247"/>
      <c r="G33" s="1247"/>
      <c r="H33" s="1247"/>
      <c r="I33" s="1247"/>
      <c r="J33" s="1247"/>
      <c r="K33" s="1247"/>
      <c r="L33" s="1248"/>
      <c r="M33" s="1247"/>
      <c r="N33" s="1247"/>
      <c r="O33" s="1247"/>
      <c r="S33" s="2213" t="s">
        <v>1489</v>
      </c>
      <c r="T33" s="2213"/>
      <c r="U33" s="1251"/>
      <c r="V33" s="2214" t="str">
        <f>IF(TITLE_NUMBER_PR_CHANGE="",IF(TITLE_NUMBER_PR="","",TITLE_NUMBER_PR),TITLE_NUMBER_PR_CHANGE)</f>
        <v/>
      </c>
      <c r="W33" s="2214"/>
      <c r="X33" s="2214"/>
      <c r="Y33" s="2214"/>
      <c r="Z33" s="2214"/>
      <c r="AA33" s="2214"/>
      <c r="AB33" s="253"/>
      <c r="AC33" s="2214" t="str">
        <f>IF(TITLE_NUMBER_PR_CHANGE="",IF(TITLE_NUMBER_PR="","",TITLE_NUMBER_PR),TITLE_NUMBER_PR_CHANGE)</f>
        <v/>
      </c>
      <c r="AD33" s="2214"/>
      <c r="AE33" s="2214"/>
      <c r="AF33" s="2214"/>
      <c r="AG33" s="2214"/>
      <c r="AH33" s="2214"/>
      <c r="AI33" s="253"/>
      <c r="AJ33" s="253"/>
      <c r="AK33" s="199"/>
      <c r="AL33" s="295"/>
      <c r="AM33" s="295"/>
      <c r="AN33" s="295"/>
      <c r="AO33" s="295"/>
      <c r="AP33" s="295"/>
    </row>
    <row r="34" spans="1:42" s="1933" customFormat="1" ht="0.75" customHeight="1">
      <c r="A34" s="1247"/>
      <c r="B34" s="1247"/>
      <c r="C34" s="1247"/>
      <c r="D34" s="1247"/>
      <c r="E34" s="1247"/>
      <c r="F34" s="1247"/>
      <c r="G34" s="1247"/>
      <c r="H34" s="1247"/>
      <c r="I34" s="1247"/>
      <c r="J34" s="1247"/>
      <c r="K34" s="1247"/>
      <c r="L34" s="1248"/>
      <c r="M34" s="1247"/>
      <c r="N34" s="1247"/>
      <c r="O34" s="1247"/>
      <c r="S34" s="250"/>
      <c r="T34" s="250"/>
      <c r="U34" s="1348"/>
      <c r="V34" s="253"/>
      <c r="W34" s="253"/>
      <c r="X34" s="253"/>
      <c r="Y34" s="253"/>
      <c r="Z34" s="253"/>
      <c r="AA34" s="253"/>
      <c r="AB34" s="197" t="s">
        <v>1490</v>
      </c>
      <c r="AC34" s="253"/>
      <c r="AD34" s="253"/>
      <c r="AE34" s="253"/>
      <c r="AF34" s="253"/>
      <c r="AG34" s="253"/>
      <c r="AH34" s="253"/>
      <c r="AI34" s="197" t="s">
        <v>1490</v>
      </c>
      <c r="AL34" s="295"/>
      <c r="AM34" s="295"/>
      <c r="AN34" s="295"/>
      <c r="AO34" s="295"/>
      <c r="AP34" s="295"/>
    </row>
    <row r="35" spans="1:42" ht="14.25" customHeight="1">
      <c r="Q35" s="304"/>
      <c r="R35" s="304"/>
      <c r="S35" s="1156"/>
      <c r="T35" s="289"/>
      <c r="U35" s="1115"/>
      <c r="V35" s="2232"/>
      <c r="W35" s="2232"/>
      <c r="X35" s="2232"/>
      <c r="Y35" s="2232"/>
      <c r="Z35" s="2232"/>
      <c r="AA35" s="2232"/>
      <c r="AB35" s="2232"/>
      <c r="AC35" s="2232"/>
      <c r="AD35" s="2232"/>
      <c r="AE35" s="2232"/>
      <c r="AF35" s="2232"/>
      <c r="AG35" s="2232"/>
      <c r="AH35" s="2232"/>
      <c r="AI35" s="2232"/>
    </row>
    <row r="36" spans="1:42" ht="14.25" customHeight="1">
      <c r="Q36" s="304"/>
      <c r="R36" s="304"/>
      <c r="S36" s="2007" t="s">
        <v>292</v>
      </c>
      <c r="T36" s="2007"/>
      <c r="U36" s="2007"/>
      <c r="V36" s="2007"/>
      <c r="W36" s="2007"/>
      <c r="X36" s="2007"/>
      <c r="Y36" s="2007"/>
      <c r="Z36" s="2007"/>
      <c r="AA36" s="2007"/>
      <c r="AB36" s="2007"/>
      <c r="AC36" s="2007"/>
      <c r="AD36" s="2007"/>
      <c r="AE36" s="2007"/>
      <c r="AF36" s="2007"/>
      <c r="AG36" s="2007"/>
      <c r="AH36" s="2007"/>
      <c r="AI36" s="2007"/>
      <c r="AJ36" s="2007"/>
      <c r="AK36" s="2007" t="s">
        <v>293</v>
      </c>
    </row>
    <row r="37" spans="1:42" ht="14.25" customHeight="1">
      <c r="Q37" s="304"/>
      <c r="R37" s="304"/>
      <c r="S37" s="2233" t="s">
        <v>87</v>
      </c>
      <c r="T37" s="2097" t="s">
        <v>1491</v>
      </c>
      <c r="U37" s="219"/>
      <c r="V37" s="2234" t="s">
        <v>1492</v>
      </c>
      <c r="W37" s="2235"/>
      <c r="X37" s="2235"/>
      <c r="Y37" s="2235"/>
      <c r="Z37" s="2235"/>
      <c r="AA37" s="2236"/>
      <c r="AB37" s="2237" t="s">
        <v>1493</v>
      </c>
      <c r="AC37" s="2234" t="s">
        <v>1492</v>
      </c>
      <c r="AD37" s="2235"/>
      <c r="AE37" s="2235"/>
      <c r="AF37" s="2235"/>
      <c r="AG37" s="2235"/>
      <c r="AH37" s="2236"/>
      <c r="AI37" s="2237" t="s">
        <v>1494</v>
      </c>
      <c r="AJ37" s="2240" t="s">
        <v>1495</v>
      </c>
      <c r="AK37" s="2007"/>
    </row>
    <row r="38" spans="1:42" ht="33.75" customHeight="1">
      <c r="Q38" s="304"/>
      <c r="R38" s="304"/>
      <c r="S38" s="2233"/>
      <c r="T38" s="2097"/>
      <c r="U38" s="924"/>
      <c r="V38" s="1343" t="s">
        <v>1686</v>
      </c>
      <c r="W38" s="1989" t="s">
        <v>1498</v>
      </c>
      <c r="X38" s="1988"/>
      <c r="Y38" s="1989" t="s">
        <v>1499</v>
      </c>
      <c r="Z38" s="1994"/>
      <c r="AA38" s="1988"/>
      <c r="AB38" s="2238"/>
      <c r="AC38" s="1343" t="s">
        <v>1686</v>
      </c>
      <c r="AD38" s="1989" t="s">
        <v>1498</v>
      </c>
      <c r="AE38" s="1988"/>
      <c r="AF38" s="1989" t="s">
        <v>1499</v>
      </c>
      <c r="AG38" s="1994"/>
      <c r="AH38" s="1988"/>
      <c r="AI38" s="2238"/>
      <c r="AJ38" s="2241"/>
      <c r="AK38" s="2007"/>
    </row>
    <row r="39" spans="1:42" ht="86.25" customHeight="1">
      <c r="A39" s="1249"/>
      <c r="B39" s="1249" t="s">
        <v>136</v>
      </c>
      <c r="C39" s="1249" t="s">
        <v>137</v>
      </c>
      <c r="D39" s="1249" t="s">
        <v>138</v>
      </c>
      <c r="E39" s="1243" t="s">
        <v>1500</v>
      </c>
      <c r="F39" s="1243" t="s">
        <v>1501</v>
      </c>
      <c r="G39" s="1243" t="s">
        <v>1502</v>
      </c>
      <c r="H39" s="1243"/>
      <c r="I39" s="1243" t="s">
        <v>1687</v>
      </c>
      <c r="J39" s="1243" t="s">
        <v>1505</v>
      </c>
      <c r="K39" s="1243" t="s">
        <v>1688</v>
      </c>
      <c r="L39" s="1243" t="s">
        <v>1481</v>
      </c>
      <c r="Q39" s="304"/>
      <c r="R39" s="304"/>
      <c r="S39" s="2233"/>
      <c r="T39" s="2097"/>
      <c r="U39" s="220"/>
      <c r="V39" s="1343" t="s">
        <v>2102</v>
      </c>
      <c r="W39" s="1090" t="s">
        <v>2103</v>
      </c>
      <c r="X39" s="1090" t="s">
        <v>1691</v>
      </c>
      <c r="Y39" s="1349" t="s">
        <v>1509</v>
      </c>
      <c r="Z39" s="2103" t="s">
        <v>1510</v>
      </c>
      <c r="AA39" s="2117"/>
      <c r="AB39" s="2239"/>
      <c r="AC39" s="1343" t="s">
        <v>2102</v>
      </c>
      <c r="AD39" s="1090" t="s">
        <v>2103</v>
      </c>
      <c r="AE39" s="1090" t="s">
        <v>1691</v>
      </c>
      <c r="AF39" s="1349" t="s">
        <v>1509</v>
      </c>
      <c r="AG39" s="2103" t="s">
        <v>1510</v>
      </c>
      <c r="AH39" s="2117"/>
      <c r="AI39" s="2239"/>
      <c r="AJ39" s="2242"/>
      <c r="AK39" s="2007"/>
    </row>
    <row r="40" spans="1:42" s="1708" customFormat="1" ht="11.25" hidden="1" customHeight="1">
      <c r="A40" s="1249"/>
      <c r="B40" s="1249"/>
      <c r="C40" s="1249"/>
      <c r="D40" s="1249"/>
      <c r="E40" s="1249"/>
      <c r="F40" s="1249"/>
      <c r="G40" s="1249"/>
      <c r="H40" s="1249"/>
      <c r="I40" s="1249"/>
      <c r="J40" s="1249"/>
      <c r="K40" s="1249"/>
      <c r="L40" s="1243"/>
      <c r="M40" s="1241"/>
      <c r="N40" s="1241"/>
      <c r="O40" s="1241"/>
      <c r="P40" s="1117"/>
      <c r="Q40" s="1118"/>
      <c r="R40" s="1133">
        <v>1</v>
      </c>
      <c r="S40" s="1158" t="s">
        <v>108</v>
      </c>
      <c r="T40" s="1134" t="s">
        <v>109</v>
      </c>
      <c r="U40" s="1116" t="str">
        <f ca="1">OFFSET(U40,0,-1)</f>
        <v>2</v>
      </c>
      <c r="V40" s="1342">
        <f ca="1">OFFSET(V40,0,-1)+1</f>
        <v>3</v>
      </c>
      <c r="W40" s="1342">
        <f ca="1">OFFSET(W40,0,-1)+1</f>
        <v>4</v>
      </c>
      <c r="X40" s="1342">
        <f ca="1">OFFSET(X40,0,-1)+1</f>
        <v>5</v>
      </c>
      <c r="Y40" s="1342">
        <f ca="1">OFFSET(Y40,0,-1)+1</f>
        <v>6</v>
      </c>
      <c r="Z40" s="2231">
        <f ca="1">OFFSET(Z40,0,-1)+1</f>
        <v>7</v>
      </c>
      <c r="AA40" s="2231"/>
      <c r="AB40" s="1342">
        <f ca="1">OFFSET(AB40,0,-2)+1</f>
        <v>8</v>
      </c>
      <c r="AC40" s="1342">
        <f ca="1">OFFSET(AC40,0,-1)+1</f>
        <v>9</v>
      </c>
      <c r="AD40" s="1342">
        <f ca="1">OFFSET(AD40,0,-1)+1</f>
        <v>10</v>
      </c>
      <c r="AE40" s="1342">
        <f ca="1">OFFSET(AE40,0,-1)+1</f>
        <v>11</v>
      </c>
      <c r="AF40" s="1342">
        <f ca="1">OFFSET(AF40,0,-1)+1</f>
        <v>12</v>
      </c>
      <c r="AG40" s="2231">
        <f ca="1">OFFSET(AG40,0,-1)+1</f>
        <v>13</v>
      </c>
      <c r="AH40" s="2231"/>
      <c r="AI40" s="1342">
        <f ca="1">OFFSET(AI40,0,-2)+1</f>
        <v>14</v>
      </c>
      <c r="AJ40" s="1116">
        <f ca="1">OFFSET(AJ40,0,-1)</f>
        <v>14</v>
      </c>
      <c r="AK40" s="1342">
        <f ca="1">OFFSET(AK40,0,-1)+1</f>
        <v>15</v>
      </c>
      <c r="AL40" s="439"/>
      <c r="AM40" s="439"/>
      <c r="AN40" s="439"/>
      <c r="AO40" s="439"/>
      <c r="AP40" s="439"/>
    </row>
    <row r="41" spans="1:42" ht="23.25" customHeight="1">
      <c r="A41" s="1242" t="s">
        <v>258</v>
      </c>
      <c r="B41" s="1242"/>
      <c r="C41" s="1242"/>
      <c r="D41" s="1242"/>
      <c r="E41" s="2221">
        <v>1</v>
      </c>
      <c r="F41" s="1242"/>
      <c r="G41" s="1242"/>
      <c r="H41" s="1242"/>
      <c r="I41" s="1242"/>
      <c r="J41" s="1242"/>
      <c r="K41" s="1242"/>
      <c r="L41" s="1243"/>
      <c r="M41" s="1244"/>
      <c r="N41" s="1244"/>
      <c r="O41" s="1244"/>
      <c r="P41" s="285"/>
      <c r="Q41" s="284"/>
      <c r="R41" s="279"/>
      <c r="S41" s="1353">
        <f>INDEX(PT_DIFFERENTIATION_NUM_NTAR,MATCH(A41,PT_DIFFERENTIATION_NTAR_ID,0))</f>
        <v>0</v>
      </c>
      <c r="T41" s="216" t="s">
        <v>124</v>
      </c>
      <c r="U41" s="218"/>
      <c r="V41" s="2215"/>
      <c r="W41" s="2216"/>
      <c r="X41" s="2216"/>
      <c r="Y41" s="2216"/>
      <c r="Z41" s="2216"/>
      <c r="AA41" s="2216"/>
      <c r="AB41" s="2217"/>
      <c r="AC41" s="2215" t="str">
        <f>INDEX(PT_DIFFERENTIATION_NTAR,MATCH(A41,PT_DIFFERENTIATION_NTAR_ID,0))</f>
        <v/>
      </c>
      <c r="AD41" s="2216"/>
      <c r="AE41" s="2216"/>
      <c r="AF41" s="2216"/>
      <c r="AG41" s="2216"/>
      <c r="AH41" s="2216"/>
      <c r="AI41" s="2216"/>
      <c r="AJ41" s="2217"/>
      <c r="AK41" s="1138"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41" s="428"/>
      <c r="AN41" s="428" t="str">
        <f t="shared" ref="AN41:AN53" si="1">IF(T41="","",T41)</f>
        <v>Наименование тарифа</v>
      </c>
      <c r="AO41" s="428"/>
      <c r="AP41" s="428"/>
    </row>
    <row r="42" spans="1:42" ht="23.25" customHeight="1">
      <c r="A42" s="1242" t="s">
        <v>258</v>
      </c>
      <c r="B42" s="1242" t="s">
        <v>259</v>
      </c>
      <c r="C42" s="1242"/>
      <c r="D42" s="1242"/>
      <c r="E42" s="2222"/>
      <c r="F42" s="2221">
        <v>1</v>
      </c>
      <c r="G42" s="1242"/>
      <c r="H42" s="1242"/>
      <c r="I42" s="1242"/>
      <c r="J42" s="1242"/>
      <c r="K42" s="1242"/>
      <c r="L42" s="1243"/>
      <c r="M42" s="1244"/>
      <c r="N42" s="1244"/>
      <c r="O42" s="1244"/>
      <c r="P42" s="1347"/>
      <c r="Q42" s="276"/>
      <c r="R42" s="277"/>
      <c r="S42" s="1353" t="str">
        <f>INDEX(PT_DIFFERENTIATION_NUM_TER,MATCH(B42,PT_DIFFERENTIATION_TER_ID,0))</f>
        <v>.</v>
      </c>
      <c r="T42" s="228" t="s">
        <v>1463</v>
      </c>
      <c r="U42" s="218"/>
      <c r="V42" s="2215"/>
      <c r="W42" s="2216"/>
      <c r="X42" s="2216"/>
      <c r="Y42" s="2216"/>
      <c r="Z42" s="2216"/>
      <c r="AA42" s="2216"/>
      <c r="AB42" s="2217"/>
      <c r="AC42" s="2215" t="str">
        <f>INDEX(PT_DIFFERENTIATION_TER,MATCH(B42,PT_DIFFERENTIATION_TER_ID,0))</f>
        <v/>
      </c>
      <c r="AD42" s="2216"/>
      <c r="AE42" s="2216"/>
      <c r="AF42" s="2216"/>
      <c r="AG42" s="2216"/>
      <c r="AH42" s="2216"/>
      <c r="AI42" s="2216"/>
      <c r="AJ42" s="2217"/>
      <c r="AK42" s="1138" t="s">
        <v>1464</v>
      </c>
      <c r="AM42" s="428"/>
      <c r="AN42" s="428" t="str">
        <f t="shared" si="1"/>
        <v>Территория действия тарифа</v>
      </c>
      <c r="AO42" s="428"/>
      <c r="AP42" s="428"/>
    </row>
    <row r="43" spans="1:42" ht="23.25" customHeight="1">
      <c r="A43" s="1242" t="s">
        <v>258</v>
      </c>
      <c r="B43" s="1242" t="s">
        <v>259</v>
      </c>
      <c r="C43" s="1242" t="s">
        <v>260</v>
      </c>
      <c r="D43" s="1242"/>
      <c r="E43" s="2222"/>
      <c r="F43" s="2222"/>
      <c r="G43" s="2221">
        <v>1</v>
      </c>
      <c r="H43" s="1242"/>
      <c r="I43" s="1242"/>
      <c r="J43" s="1242"/>
      <c r="K43" s="1242"/>
      <c r="L43" s="1243"/>
      <c r="M43" s="1244"/>
      <c r="N43" s="1244"/>
      <c r="O43" s="1244"/>
      <c r="P43" s="278"/>
      <c r="Q43" s="276"/>
      <c r="R43" s="277"/>
      <c r="S43" s="1353" t="str">
        <f>INDEX(PT_DIFFERENTIATION_NUM_CS,MATCH(C43,PT_DIFFERENTIATION_CS_ID,0))</f>
        <v>..</v>
      </c>
      <c r="T43" s="229" t="s">
        <v>2100</v>
      </c>
      <c r="U43" s="218"/>
      <c r="V43" s="2215"/>
      <c r="W43" s="2216"/>
      <c r="X43" s="2216"/>
      <c r="Y43" s="2216"/>
      <c r="Z43" s="2216"/>
      <c r="AA43" s="2216"/>
      <c r="AB43" s="2217"/>
      <c r="AC43" s="2215" t="str">
        <f>INDEX(PT_DIFFERENTIATION_CS,MATCH(C43,PT_DIFFERENTIATION_CS_ID,0))</f>
        <v/>
      </c>
      <c r="AD43" s="2216"/>
      <c r="AE43" s="2216"/>
      <c r="AF43" s="2216"/>
      <c r="AG43" s="2216"/>
      <c r="AH43" s="2216"/>
      <c r="AI43" s="2216"/>
      <c r="AJ43" s="2217"/>
      <c r="AK43" s="1138" t="s">
        <v>2101</v>
      </c>
      <c r="AM43" s="428"/>
      <c r="AN43" s="428" t="str">
        <f t="shared" si="1"/>
        <v>Наименование централизованной системы водоотведения</v>
      </c>
      <c r="AO43" s="428"/>
      <c r="AP43" s="428"/>
    </row>
    <row r="44" spans="1:42" ht="23.25" customHeight="1">
      <c r="A44" s="1242" t="s">
        <v>258</v>
      </c>
      <c r="B44" s="1242" t="s">
        <v>259</v>
      </c>
      <c r="C44" s="1242" t="s">
        <v>260</v>
      </c>
      <c r="D44" s="1242" t="s">
        <v>2104</v>
      </c>
      <c r="E44" s="2222"/>
      <c r="F44" s="2222"/>
      <c r="G44" s="2222"/>
      <c r="H44" s="2222"/>
      <c r="I44" s="2223" t="str">
        <f>S43&amp;".1"</f>
        <v>...1</v>
      </c>
      <c r="J44" s="1242"/>
      <c r="K44" s="1242"/>
      <c r="L44" s="1243"/>
      <c r="P44" s="2143">
        <v>1</v>
      </c>
      <c r="Q44" s="1341"/>
      <c r="R44" s="280"/>
      <c r="S44" s="1353" t="str">
        <f>$I44</f>
        <v>...1</v>
      </c>
      <c r="T44" s="203" t="s">
        <v>1680</v>
      </c>
      <c r="U44" s="218"/>
      <c r="V44" s="2313"/>
      <c r="W44" s="2314"/>
      <c r="X44" s="2314"/>
      <c r="Y44" s="2314"/>
      <c r="Z44" s="2314"/>
      <c r="AA44" s="2314"/>
      <c r="AB44" s="2315"/>
      <c r="AC44" s="2316"/>
      <c r="AD44" s="2317"/>
      <c r="AE44" s="2317"/>
      <c r="AF44" s="2317"/>
      <c r="AG44" s="2317"/>
      <c r="AH44" s="2317"/>
      <c r="AI44" s="2317"/>
      <c r="AJ44" s="2318"/>
      <c r="AK44" s="1138" t="s">
        <v>1681</v>
      </c>
      <c r="AM44" s="428"/>
      <c r="AN44" s="428" t="str">
        <f t="shared" si="1"/>
        <v>Наименование признака дифференциации</v>
      </c>
      <c r="AO44" s="428"/>
      <c r="AP44" s="428"/>
    </row>
    <row r="45" spans="1:42" ht="23.25" customHeight="1">
      <c r="A45" s="1242" t="s">
        <v>258</v>
      </c>
      <c r="B45" s="1242" t="s">
        <v>259</v>
      </c>
      <c r="C45" s="1242" t="s">
        <v>260</v>
      </c>
      <c r="D45" s="1242" t="s">
        <v>2104</v>
      </c>
      <c r="E45" s="2222"/>
      <c r="F45" s="2222"/>
      <c r="G45" s="2222"/>
      <c r="H45" s="2222"/>
      <c r="I45" s="2224"/>
      <c r="J45" s="2223" t="str">
        <f>I44&amp;".1"</f>
        <v>...1.1</v>
      </c>
      <c r="K45" s="1242"/>
      <c r="L45" s="1243" t="s">
        <v>1472</v>
      </c>
      <c r="P45" s="2143"/>
      <c r="Q45" s="2143">
        <v>1</v>
      </c>
      <c r="R45" s="281"/>
      <c r="S45" s="1353" t="str">
        <f>$J45</f>
        <v>...1.1</v>
      </c>
      <c r="T45" s="204" t="s">
        <v>1473</v>
      </c>
      <c r="U45" s="218"/>
      <c r="V45" s="2210"/>
      <c r="W45" s="2211"/>
      <c r="X45" s="2211"/>
      <c r="Y45" s="2211"/>
      <c r="Z45" s="2211"/>
      <c r="AA45" s="2211"/>
      <c r="AB45" s="2212"/>
      <c r="AC45" s="2210"/>
      <c r="AD45" s="2211"/>
      <c r="AE45" s="2211"/>
      <c r="AF45" s="2211"/>
      <c r="AG45" s="2211"/>
      <c r="AH45" s="2211"/>
      <c r="AI45" s="2211"/>
      <c r="AJ45" s="2212"/>
      <c r="AK45" s="1192" t="s">
        <v>1682</v>
      </c>
      <c r="AM45" s="428"/>
      <c r="AN45" s="428" t="str">
        <f t="shared" si="1"/>
        <v>Группа потребителей</v>
      </c>
      <c r="AO45" s="428"/>
      <c r="AP45" s="428"/>
    </row>
    <row r="46" spans="1:42" ht="23.25" customHeight="1">
      <c r="A46" s="1242" t="s">
        <v>258</v>
      </c>
      <c r="B46" s="1242" t="s">
        <v>259</v>
      </c>
      <c r="C46" s="1242" t="s">
        <v>260</v>
      </c>
      <c r="D46" s="1242" t="s">
        <v>2104</v>
      </c>
      <c r="E46" s="2222"/>
      <c r="F46" s="2222"/>
      <c r="G46" s="2222"/>
      <c r="H46" s="2222"/>
      <c r="I46" s="2224"/>
      <c r="J46" s="2224"/>
      <c r="K46" s="2223" t="str">
        <f>J45&amp;".1"</f>
        <v>...1.1.1</v>
      </c>
      <c r="L46" s="1243"/>
      <c r="P46" s="2143"/>
      <c r="Q46" s="2143"/>
      <c r="R46" s="281">
        <v>1</v>
      </c>
      <c r="S46" s="1353" t="str">
        <f>$K46</f>
        <v>...1.1.1</v>
      </c>
      <c r="T46" s="1304"/>
      <c r="U46" s="218"/>
      <c r="V46" s="1668"/>
      <c r="W46" s="1668"/>
      <c r="X46" s="1669"/>
      <c r="Y46" s="2219"/>
      <c r="Z46" s="2218" t="s">
        <v>62</v>
      </c>
      <c r="AA46" s="2219"/>
      <c r="AB46" s="2218" t="s">
        <v>62</v>
      </c>
      <c r="AC46" s="1664"/>
      <c r="AD46" s="1664"/>
      <c r="AE46" s="1666"/>
      <c r="AF46" s="2225"/>
      <c r="AG46" s="2017" t="s">
        <v>62</v>
      </c>
      <c r="AH46" s="2227"/>
      <c r="AI46" s="2017" t="s">
        <v>55</v>
      </c>
      <c r="AJ46" s="1703"/>
      <c r="AK46" s="2319"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46" s="439" t="e">
        <f ca="1">STRCHECKDATE(V47:AJ47)</f>
        <v>#NAME?</v>
      </c>
      <c r="AM46" s="428"/>
      <c r="AN46" s="428" t="str">
        <f t="shared" si="1"/>
        <v/>
      </c>
      <c r="AO46" s="428"/>
      <c r="AP46" s="428"/>
    </row>
    <row r="47" spans="1:42" ht="0" hidden="1" customHeight="1">
      <c r="A47" s="1242" t="s">
        <v>258</v>
      </c>
      <c r="B47" s="1242" t="s">
        <v>259</v>
      </c>
      <c r="C47" s="1242" t="s">
        <v>260</v>
      </c>
      <c r="D47" s="1242" t="s">
        <v>2104</v>
      </c>
      <c r="E47" s="2222"/>
      <c r="F47" s="2222"/>
      <c r="G47" s="2222"/>
      <c r="H47" s="2222"/>
      <c r="I47" s="2224"/>
      <c r="J47" s="2224"/>
      <c r="K47" s="2223"/>
      <c r="L47" s="1243"/>
      <c r="P47" s="2143"/>
      <c r="Q47" s="2143"/>
      <c r="R47" s="281"/>
      <c r="S47" s="1350"/>
      <c r="T47" s="218"/>
      <c r="U47" s="218"/>
      <c r="V47" s="1668"/>
      <c r="W47" s="1668"/>
      <c r="X47" s="1667" t="str">
        <f>Y46&amp;"-"&amp;AA46</f>
        <v>-</v>
      </c>
      <c r="Y47" s="2218"/>
      <c r="Z47" s="2218"/>
      <c r="AA47" s="2218"/>
      <c r="AB47" s="2218"/>
      <c r="AC47" s="1665"/>
      <c r="AD47" s="1665"/>
      <c r="AE47" s="1667" t="str">
        <f>AF46&amp;"-"&amp;AH46</f>
        <v>-</v>
      </c>
      <c r="AF47" s="2226"/>
      <c r="AG47" s="2017"/>
      <c r="AH47" s="2228"/>
      <c r="AI47" s="2017"/>
      <c r="AJ47" s="1704"/>
      <c r="AK47" s="2319"/>
      <c r="AM47" s="428"/>
      <c r="AN47" s="428" t="str">
        <f t="shared" si="1"/>
        <v/>
      </c>
      <c r="AO47" s="428"/>
      <c r="AP47" s="428"/>
    </row>
    <row r="48" spans="1:42" ht="21" customHeight="1">
      <c r="A48" s="1242" t="s">
        <v>258</v>
      </c>
      <c r="B48" s="1242" t="s">
        <v>259</v>
      </c>
      <c r="C48" s="1242" t="s">
        <v>260</v>
      </c>
      <c r="D48" s="1242" t="s">
        <v>2104</v>
      </c>
      <c r="E48" s="2222"/>
      <c r="F48" s="2222"/>
      <c r="G48" s="2222"/>
      <c r="H48" s="2222"/>
      <c r="I48" s="2224"/>
      <c r="J48" s="2223"/>
      <c r="K48" s="1242"/>
      <c r="L48" s="1243"/>
      <c r="P48" s="2143"/>
      <c r="Q48" s="2143"/>
      <c r="R48" s="280"/>
      <c r="S48" s="1159"/>
      <c r="T48" s="205" t="s">
        <v>1683</v>
      </c>
      <c r="U48" s="294"/>
      <c r="V48" s="294"/>
      <c r="W48" s="294"/>
      <c r="X48" s="294"/>
      <c r="Y48" s="294"/>
      <c r="Z48" s="294"/>
      <c r="AA48" s="294"/>
      <c r="AB48" s="294"/>
      <c r="AC48" s="294"/>
      <c r="AD48" s="294"/>
      <c r="AE48" s="294"/>
      <c r="AF48" s="294"/>
      <c r="AG48" s="294"/>
      <c r="AH48" s="294"/>
      <c r="AI48" s="294"/>
      <c r="AJ48" s="294"/>
      <c r="AK48" s="1138" t="s">
        <v>1684</v>
      </c>
      <c r="AM48" s="428"/>
      <c r="AN48" s="428" t="str">
        <f t="shared" si="1"/>
        <v>Добавить значение признака дифференциации</v>
      </c>
      <c r="AO48" s="428"/>
      <c r="AP48" s="428"/>
    </row>
    <row r="49" spans="1:42" ht="21" customHeight="1">
      <c r="A49" s="1242" t="s">
        <v>258</v>
      </c>
      <c r="B49" s="1242" t="s">
        <v>259</v>
      </c>
      <c r="C49" s="1242" t="s">
        <v>260</v>
      </c>
      <c r="D49" s="1242" t="s">
        <v>2104</v>
      </c>
      <c r="E49" s="2222"/>
      <c r="F49" s="2222"/>
      <c r="G49" s="2222"/>
      <c r="H49" s="2222"/>
      <c r="I49" s="2223"/>
      <c r="J49" s="1242"/>
      <c r="K49" s="1242"/>
      <c r="L49" s="1243"/>
      <c r="P49" s="2143"/>
      <c r="Q49" s="1341"/>
      <c r="R49" s="280"/>
      <c r="S49" s="1159"/>
      <c r="T49" s="291" t="s">
        <v>1478</v>
      </c>
      <c r="U49" s="294"/>
      <c r="V49" s="294"/>
      <c r="W49" s="294"/>
      <c r="X49" s="294"/>
      <c r="Y49" s="294"/>
      <c r="Z49" s="294"/>
      <c r="AA49" s="294"/>
      <c r="AB49" s="293"/>
      <c r="AC49" s="294"/>
      <c r="AD49" s="294"/>
      <c r="AE49" s="294"/>
      <c r="AF49" s="294"/>
      <c r="AG49" s="294"/>
      <c r="AH49" s="294"/>
      <c r="AI49" s="293"/>
      <c r="AJ49" s="294"/>
      <c r="AK49" s="1305"/>
      <c r="AM49" s="428"/>
      <c r="AN49" s="428" t="str">
        <f t="shared" si="1"/>
        <v>Добавить группу потребителей</v>
      </c>
      <c r="AO49" s="428"/>
      <c r="AP49" s="428"/>
    </row>
    <row r="50" spans="1:42" ht="21" customHeight="1">
      <c r="A50" s="1242" t="s">
        <v>258</v>
      </c>
      <c r="B50" s="1242" t="s">
        <v>259</v>
      </c>
      <c r="C50" s="1242" t="s">
        <v>260</v>
      </c>
      <c r="D50" s="1242" t="s">
        <v>2104</v>
      </c>
      <c r="E50" s="2222"/>
      <c r="F50" s="2222"/>
      <c r="G50" s="2222"/>
      <c r="H50" s="2221"/>
      <c r="I50" s="1242"/>
      <c r="J50" s="1242"/>
      <c r="K50" s="1242"/>
      <c r="L50" s="1243"/>
      <c r="M50" s="1244"/>
      <c r="N50" s="1244"/>
      <c r="O50" s="464"/>
      <c r="P50" s="284"/>
      <c r="Q50" s="303"/>
      <c r="R50" s="279"/>
      <c r="S50" s="1159"/>
      <c r="T50" s="299" t="s">
        <v>1685</v>
      </c>
      <c r="U50" s="294"/>
      <c r="V50" s="294"/>
      <c r="W50" s="294"/>
      <c r="X50" s="294"/>
      <c r="Y50" s="294"/>
      <c r="Z50" s="294"/>
      <c r="AA50" s="294"/>
      <c r="AB50" s="293"/>
      <c r="AC50" s="294"/>
      <c r="AD50" s="294"/>
      <c r="AE50" s="294"/>
      <c r="AF50" s="294"/>
      <c r="AG50" s="294"/>
      <c r="AH50" s="294"/>
      <c r="AI50" s="293"/>
      <c r="AJ50" s="294"/>
      <c r="AK50" s="221"/>
      <c r="AM50" s="428"/>
      <c r="AN50" s="428" t="str">
        <f t="shared" si="1"/>
        <v>Добавить наименование признака дифференциации</v>
      </c>
      <c r="AO50" s="428"/>
      <c r="AP50" s="428"/>
    </row>
    <row r="51" spans="1:42" s="1755" customFormat="1" ht="0.75" customHeight="1">
      <c r="A51" s="1226" t="s">
        <v>258</v>
      </c>
      <c r="B51" s="1226" t="s">
        <v>259</v>
      </c>
      <c r="C51" s="1198"/>
      <c r="D51" s="1198"/>
      <c r="E51" s="2222"/>
      <c r="F51" s="2221"/>
      <c r="G51" s="1198"/>
      <c r="H51" s="1198"/>
      <c r="I51" s="1198"/>
      <c r="J51" s="1198"/>
      <c r="K51" s="1198"/>
      <c r="L51" s="1354"/>
      <c r="M51" s="1205"/>
      <c r="N51" s="1205"/>
      <c r="P51" s="1200"/>
      <c r="Q51" s="1201"/>
      <c r="R51" s="1200"/>
      <c r="S51" s="1206"/>
      <c r="T51" s="1209" t="s">
        <v>1439</v>
      </c>
      <c r="U51" s="1208"/>
      <c r="V51" s="1208"/>
      <c r="W51" s="1208"/>
      <c r="X51" s="1208"/>
      <c r="Y51" s="1208"/>
      <c r="Z51" s="1208"/>
      <c r="AA51" s="1208"/>
      <c r="AB51" s="1208"/>
      <c r="AC51" s="1208"/>
      <c r="AD51" s="1208"/>
      <c r="AE51" s="1208"/>
      <c r="AF51" s="1208"/>
      <c r="AG51" s="1208"/>
      <c r="AH51" s="1208"/>
      <c r="AI51" s="1208"/>
      <c r="AJ51" s="1208"/>
      <c r="AK51" s="1208"/>
      <c r="AM51" s="695"/>
      <c r="AN51" s="695" t="str">
        <f t="shared" si="1"/>
        <v>Добавить централизованную систему для дифференциации</v>
      </c>
      <c r="AO51" s="695"/>
      <c r="AP51" s="695"/>
    </row>
    <row r="52" spans="1:42" s="1755" customFormat="1" ht="0.75" customHeight="1">
      <c r="A52" s="1226" t="s">
        <v>258</v>
      </c>
      <c r="B52" s="1226"/>
      <c r="C52" s="1226"/>
      <c r="D52" s="1226"/>
      <c r="E52" s="2221"/>
      <c r="F52" s="1226"/>
      <c r="G52" s="1226"/>
      <c r="H52" s="1226"/>
      <c r="I52" s="1226"/>
      <c r="J52" s="1226"/>
      <c r="K52" s="1226"/>
      <c r="L52" s="1229"/>
      <c r="M52" s="1205"/>
      <c r="N52" s="1205"/>
      <c r="O52" s="446"/>
      <c r="P52" s="311"/>
      <c r="Q52" s="1227"/>
      <c r="R52" s="311"/>
      <c r="S52" s="1206"/>
      <c r="T52" s="1209" t="s">
        <v>1440</v>
      </c>
      <c r="U52" s="1208"/>
      <c r="V52" s="1208"/>
      <c r="W52" s="1208"/>
      <c r="X52" s="1208"/>
      <c r="Y52" s="1208"/>
      <c r="Z52" s="1208"/>
      <c r="AA52" s="1208"/>
      <c r="AB52" s="1208"/>
      <c r="AC52" s="1208"/>
      <c r="AD52" s="1208"/>
      <c r="AE52" s="1208"/>
      <c r="AF52" s="1208"/>
      <c r="AG52" s="1208"/>
      <c r="AH52" s="1208"/>
      <c r="AI52" s="1208"/>
      <c r="AJ52" s="1208"/>
      <c r="AK52" s="1208"/>
      <c r="AM52" s="428"/>
      <c r="AN52" s="428" t="str">
        <f t="shared" si="1"/>
        <v>Добавить территорию для дифференциации</v>
      </c>
      <c r="AO52" s="428"/>
      <c r="AP52" s="428"/>
    </row>
    <row r="53" spans="1:42" s="1755" customFormat="1" ht="0.75" customHeight="1">
      <c r="A53" s="1198"/>
      <c r="B53" s="1198"/>
      <c r="C53" s="1198"/>
      <c r="D53" s="1198"/>
      <c r="E53" s="1226"/>
      <c r="F53" s="1198"/>
      <c r="G53" s="1198"/>
      <c r="H53" s="1198"/>
      <c r="I53" s="1198"/>
      <c r="J53" s="1198"/>
      <c r="K53" s="1198"/>
      <c r="L53" s="1354"/>
      <c r="M53" s="1205"/>
      <c r="N53" s="1205"/>
      <c r="P53" s="1200"/>
      <c r="Q53" s="1201"/>
      <c r="R53" s="1200"/>
      <c r="S53" s="1206"/>
      <c r="T53" s="1209" t="s">
        <v>1441</v>
      </c>
      <c r="U53" s="1208"/>
      <c r="V53" s="1208"/>
      <c r="W53" s="1208"/>
      <c r="X53" s="1208"/>
      <c r="Y53" s="1208"/>
      <c r="Z53" s="1208"/>
      <c r="AA53" s="1208"/>
      <c r="AB53" s="1208"/>
      <c r="AC53" s="1208"/>
      <c r="AD53" s="1208"/>
      <c r="AE53" s="1208"/>
      <c r="AF53" s="1208"/>
      <c r="AG53" s="1208"/>
      <c r="AH53" s="1208"/>
      <c r="AI53" s="1208"/>
      <c r="AJ53" s="1208"/>
      <c r="AK53" s="1208"/>
      <c r="AM53" s="695"/>
      <c r="AN53" s="695" t="str">
        <f t="shared" si="1"/>
        <v>Добавить наименование тарифа</v>
      </c>
      <c r="AO53" s="695"/>
      <c r="AP53" s="695"/>
    </row>
    <row r="54" spans="1:42" ht="11.25" customHeight="1">
      <c r="M54" s="1034"/>
      <c r="N54" s="1034"/>
      <c r="O54" s="464"/>
      <c r="P54" s="1029"/>
      <c r="Q54" s="1029"/>
      <c r="R54" s="1029"/>
      <c r="S54" s="1029"/>
      <c r="AL54" s="1029"/>
      <c r="AM54" s="1029"/>
      <c r="AN54" s="1029"/>
      <c r="AO54" s="1029"/>
      <c r="AP54" s="1029"/>
    </row>
    <row r="55" spans="1:42" ht="14.25" customHeight="1">
      <c r="O55" s="464"/>
      <c r="S55" s="1126" t="s">
        <v>1511</v>
      </c>
      <c r="T55" s="2220" t="s">
        <v>2105</v>
      </c>
      <c r="U55" s="2220"/>
      <c r="V55" s="2220"/>
      <c r="W55" s="2220"/>
      <c r="X55" s="2220"/>
      <c r="Y55" s="2220"/>
      <c r="Z55" s="2220"/>
      <c r="AA55" s="2220"/>
      <c r="AB55" s="2220"/>
      <c r="AC55" s="2220"/>
      <c r="AD55" s="2220"/>
      <c r="AE55" s="2220"/>
      <c r="AF55" s="2220"/>
      <c r="AG55" s="2220"/>
      <c r="AH55" s="2220"/>
      <c r="AI55" s="2220"/>
      <c r="AJ55" s="2220"/>
      <c r="AK55" s="2220"/>
    </row>
    <row r="56" spans="1:42" ht="14.25" customHeight="1">
      <c r="O56" s="464"/>
    </row>
    <row r="57" spans="1:42" ht="14.25" customHeight="1">
      <c r="O57" s="464"/>
      <c r="S57" s="1126" t="s">
        <v>1511</v>
      </c>
      <c r="T57" s="2220" t="s">
        <v>2106</v>
      </c>
      <c r="U57" s="2220"/>
      <c r="V57" s="2220"/>
      <c r="W57" s="2220"/>
      <c r="X57" s="2220"/>
      <c r="Y57" s="2220"/>
      <c r="Z57" s="2220"/>
      <c r="AA57" s="2220"/>
      <c r="AB57" s="2220"/>
      <c r="AC57" s="2220"/>
      <c r="AD57" s="2220"/>
      <c r="AE57" s="2220"/>
      <c r="AF57" s="2220"/>
      <c r="AG57" s="2220"/>
      <c r="AH57" s="2220"/>
      <c r="AI57" s="2220"/>
      <c r="AJ57" s="2220"/>
      <c r="AK57" s="2220"/>
    </row>
  </sheetData>
  <sheetProtection formatColumns="0" formatRows="0" insertRows="0" deleteColumns="0" deleteRows="0" sort="0" autoFilter="0"/>
  <mergeCells count="101">
    <mergeCell ref="E2:E13"/>
    <mergeCell ref="V2:AB2"/>
    <mergeCell ref="AC2:AJ2"/>
    <mergeCell ref="F3:F12"/>
    <mergeCell ref="V3:AB3"/>
    <mergeCell ref="AC3:AJ3"/>
    <mergeCell ref="G4:G11"/>
    <mergeCell ref="V4:AB4"/>
    <mergeCell ref="AC4:AJ4"/>
    <mergeCell ref="H5:H11"/>
    <mergeCell ref="I5:I10"/>
    <mergeCell ref="P5:P10"/>
    <mergeCell ref="V5:AB5"/>
    <mergeCell ref="AC5:AJ5"/>
    <mergeCell ref="J6:J9"/>
    <mergeCell ref="Q6:Q9"/>
    <mergeCell ref="V6:AB6"/>
    <mergeCell ref="AC6:AJ6"/>
    <mergeCell ref="K7:K8"/>
    <mergeCell ref="Y7:Y8"/>
    <mergeCell ref="AI7:AI8"/>
    <mergeCell ref="AK7:AK8"/>
    <mergeCell ref="AF15:AF16"/>
    <mergeCell ref="AG15:AG16"/>
    <mergeCell ref="AH15:AH16"/>
    <mergeCell ref="AI15:AI16"/>
    <mergeCell ref="Z7:Z8"/>
    <mergeCell ref="AA7:AA8"/>
    <mergeCell ref="AB7:AB8"/>
    <mergeCell ref="AF7:AF8"/>
    <mergeCell ref="AG7:AG8"/>
    <mergeCell ref="AH7:AH8"/>
    <mergeCell ref="S29:T29"/>
    <mergeCell ref="V29:AA29"/>
    <mergeCell ref="AC29:AH29"/>
    <mergeCell ref="S30:T30"/>
    <mergeCell ref="V30:AA30"/>
    <mergeCell ref="AC30:AH30"/>
    <mergeCell ref="S24:AH24"/>
    <mergeCell ref="S25:AH25"/>
    <mergeCell ref="S27:T27"/>
    <mergeCell ref="V27:AA27"/>
    <mergeCell ref="AC27:AH27"/>
    <mergeCell ref="S28:T28"/>
    <mergeCell ref="V28:AA28"/>
    <mergeCell ref="AC28:AH28"/>
    <mergeCell ref="AK36:AK39"/>
    <mergeCell ref="S37:S39"/>
    <mergeCell ref="T37:T39"/>
    <mergeCell ref="V37:AA37"/>
    <mergeCell ref="AB37:AB39"/>
    <mergeCell ref="AC37:AH37"/>
    <mergeCell ref="AI37:AI39"/>
    <mergeCell ref="S32:T32"/>
    <mergeCell ref="V32:AA32"/>
    <mergeCell ref="AC32:AH32"/>
    <mergeCell ref="S33:T33"/>
    <mergeCell ref="V33:AA33"/>
    <mergeCell ref="AC33:AH33"/>
    <mergeCell ref="AJ37:AJ39"/>
    <mergeCell ref="W38:X38"/>
    <mergeCell ref="Y38:AA38"/>
    <mergeCell ref="AD38:AE38"/>
    <mergeCell ref="AF38:AH38"/>
    <mergeCell ref="Z39:AA39"/>
    <mergeCell ref="AG39:AH39"/>
    <mergeCell ref="V35:AB35"/>
    <mergeCell ref="AC35:AI35"/>
    <mergeCell ref="S36:AJ36"/>
    <mergeCell ref="Z40:AA40"/>
    <mergeCell ref="AG40:AH40"/>
    <mergeCell ref="E41:E52"/>
    <mergeCell ref="V41:AB41"/>
    <mergeCell ref="AC41:AJ41"/>
    <mergeCell ref="F42:F51"/>
    <mergeCell ref="V42:AB42"/>
    <mergeCell ref="AC42:AJ42"/>
    <mergeCell ref="G43:G50"/>
    <mergeCell ref="V43:AB43"/>
    <mergeCell ref="AC43:AJ43"/>
    <mergeCell ref="H44:H50"/>
    <mergeCell ref="I44:I49"/>
    <mergeCell ref="P44:P49"/>
    <mergeCell ref="V44:AB44"/>
    <mergeCell ref="AC44:AJ44"/>
    <mergeCell ref="J45:J48"/>
    <mergeCell ref="Q45:Q48"/>
    <mergeCell ref="V45:AB45"/>
    <mergeCell ref="AC45:AJ45"/>
    <mergeCell ref="AG46:AG47"/>
    <mergeCell ref="AH46:AH47"/>
    <mergeCell ref="AI46:AI47"/>
    <mergeCell ref="AK46:AK47"/>
    <mergeCell ref="T55:AK55"/>
    <mergeCell ref="T57:AK57"/>
    <mergeCell ref="K46:K47"/>
    <mergeCell ref="Y46:Y47"/>
    <mergeCell ref="Z46:Z47"/>
    <mergeCell ref="AA46:AA47"/>
    <mergeCell ref="AB46:AB47"/>
    <mergeCell ref="AF46:AF47"/>
  </mergeCells>
  <dataValidations count="8">
    <dataValidation type="list" allowBlank="1" showInputMessage="1" errorTitle="Ошибка" error="Выберите значение из списка" prompt="Выберите значение из списка" sqref="V983081:AJ983081 V65577:AJ65577 V131113:AJ131113 V196649:AJ196649 V262185:AJ262185 V327721:AJ327721 V393257:AJ393257 V458793:AJ458793 V524329:AJ524329 V589865:AJ589865 V655401:AJ655401 V720937:AJ720937 V786473:AJ786473 V852009:AJ852009 V917545:AJ917545">
      <formula1>kind_of_cons</formula1>
    </dataValidation>
    <dataValidation allowBlank="1" sqref="S131116:AK131122 S196652:AK196658 S262188:AK262194 S327724:AK327730 S393260:AK393266 S458796:AK458802 S524332:AK524338 S589868:AK589874 S655404:AK655410 S720940:AK720946 S786476:AK786482 S852012:AK852018 S917548:AK917554 S983084:AK983090 S65580:AK65586"/>
    <dataValidation allowBlank="1" showInputMessage="1" showErrorMessage="1" prompt="Для выбора выполните двойной щелчок левой клавиши мыши по соответствующей ячейке." sqref="Z65578 Z131114 Z196650 Z262186 Z327722 Z393258 Z458794 Z524330 Z589866 Z655402 Z720938 Z786474 Z852010 Z917546 Z983082 AB131114 AB458794 AB196650 AB262186 AB327722 AB393258 AB524330 AB589866 AB655402 AB720938 AB786474 AB852010 AB917546 AB983082 AB65578 AG65578 AG131114 AG196650 AG262186 AG327722 AG393258 AG458794 AG524330 AG589866 AG655402 AG720938 AG786474 AG852010 AG917546 AG983082 AI524330 AI196650 AI589866 AI655402 AI15 AI720938 AI786474 AI852010 AI917546 AI983082 AI65578 AI131114 AI458794 AI262186 AI7 AG46 AI327722 AG15 AG7 Z7 AB7 AI393258 AI46 Z46 AB46"/>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Y65578 Y131114 Y196650 Y262186 Y327722 Y393258 Y458794 Y524330 Y589866 Y655402 Y720938 Y786474 Y852010 Y917546 Y983082 AA65578 AA131114 AA196650 AA262186 AA327722 AA393258 AA458794 AA524330 AA589866 AA655402 AA720938 AA786474 AA852010 AA917546 AA983082 AF15 AF65578 AF131114 AF196650 AF262186 AF327722 AF393258 AF458794 AF524330 AF589866 AF655402 AF720938 AF786474 AF852010 AF917546 AF983082 AH65578 AH131114 AH196650 AH262186 AH327722 AH393258 AH458794 AH524330 AH589866 AH655402 AH720938 AH786474 AH852010 AH917546 AH983082 AH46 AF46 AH15 AH7 AF7 Y7 AA7 Y46 AA46"/>
    <dataValidation type="list" allowBlank="1" showInputMessage="1" showErrorMessage="1" errorTitle="Ошибка" error="Выберите значение из списка" sqref="T65578 T131114 T196650 T262186 T327722 T393258 T458794 T524330 T589866 T655402 T720938 T786474 T852010 T917546 T983082">
      <formula1>kind_of_heat_transfer</formula1>
    </dataValidation>
    <dataValidation type="textLength" operator="lessThanOrEqual" allowBlank="1" showInputMessage="1" showErrorMessage="1" errorTitle="Ошибка" error="Допускается ввод не более 900 символов!" sqref="AK65572:AK65579 AK131108:AK131115 AK196644:AK196651 AK262180:AK262187 AK327716:AK327723 AK393252:AK393259 AK458788:AK458795 AK524324:AK524331 AK589860:AK589867 AK655396:AK655403 AK720932:AK720939 AK786468:AK786475 AK852004:AK852011 AK917540:AK917547 AK983076:AK983083 T46 T7 AC5:AJ5 AC44:AJ44">
      <formula1>900</formula1>
    </dataValidation>
    <dataValidation type="list" allowBlank="1" showInputMessage="1" showErrorMessage="1" errorTitle="Ошибка" error="Выберите значение из списка" sqref="V983080 V65576 V131112 V196648 V262184 V327720 V393256 V458792 V524328 V589864 V655400 V720936 V786472 V852008 V917544 AC983080 AC65576 AC131112 AC196648 AC262184 AC327720 AC393256 AC458792 AC524328 AC589864 AC655400 AC720936 AC786472 AC852008 AC917544">
      <formula1>kind_of_scheme_in</formula1>
    </dataValidation>
    <dataValidation allowBlank="1" promptTitle="checkPeriodRange" sqref="X65579 X131115 X196651 X262187 X327723 X393259 X458795 X524331 X589867 X655403 X720939 X786475 X852011 X917547 X983083 AE16 AE65579 AE131115 AE196651 AE262187 AE327723 AE393259 AE458795 AE524331 AE589867 AE655403 AE720939 AE786475 AE852011 AE917547 AE983083 AE47 AE8 X8 X47"/>
  </dataValidation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39997558519241921"/>
  </sheetPr>
  <dimension ref="A1:AP57"/>
  <sheetViews>
    <sheetView showGridLines="0" topLeftCell="P23" workbookViewId="0"/>
  </sheetViews>
  <sheetFormatPr defaultColWidth="10.5703125" defaultRowHeight="14.25" customHeight="1"/>
  <cols>
    <col min="1" max="1" width="10.5703125" style="1742" hidden="1"/>
    <col min="2" max="2" width="11" style="1742" hidden="1" customWidth="1"/>
    <col min="3" max="3" width="10.5703125" style="1742" hidden="1"/>
    <col min="4" max="4" width="11.85546875" style="1742" hidden="1" customWidth="1"/>
    <col min="5" max="5" width="10" style="1742" hidden="1" customWidth="1"/>
    <col min="6" max="6" width="8.7109375" style="1742" hidden="1" customWidth="1"/>
    <col min="7" max="7" width="7.5703125" style="1742" hidden="1" customWidth="1"/>
    <col min="8" max="8" width="11.42578125" style="1742" hidden="1" customWidth="1"/>
    <col min="9" max="9" width="14.140625" style="1742" hidden="1" customWidth="1"/>
    <col min="10" max="10" width="9.85546875" style="1742" hidden="1" customWidth="1"/>
    <col min="11" max="11" width="14.7109375" style="1742" hidden="1" customWidth="1"/>
    <col min="12" max="12" width="19.140625" style="1741" hidden="1" customWidth="1"/>
    <col min="13" max="14" width="12.28515625" style="1683" hidden="1" customWidth="1"/>
    <col min="15" max="15" width="23.42578125" style="1683" hidden="1" customWidth="1"/>
    <col min="16" max="16" width="3.7109375" style="1720" customWidth="1"/>
    <col min="17" max="18" width="3.7109375" style="1674" customWidth="1"/>
    <col min="19" max="19" width="12.7109375" style="1713" customWidth="1"/>
    <col min="20" max="20" width="35.7109375" style="1829" customWidth="1"/>
    <col min="21" max="21" width="0.140625" style="1829" customWidth="1"/>
    <col min="22" max="24" width="24.7109375" style="1829" hidden="1" customWidth="1"/>
    <col min="25" max="25" width="11.7109375" style="1829" hidden="1" customWidth="1"/>
    <col min="26" max="26" width="3.7109375" style="1829" hidden="1" customWidth="1"/>
    <col min="27" max="27" width="11.7109375" style="1829" hidden="1" customWidth="1"/>
    <col min="28" max="28" width="8.5703125" style="1829" hidden="1" customWidth="1"/>
    <col min="29" max="31" width="24.7109375" style="1829" customWidth="1"/>
    <col min="32" max="32" width="11.7109375" style="1829" customWidth="1"/>
    <col min="33" max="33" width="3.7109375" style="1829" customWidth="1"/>
    <col min="34" max="34" width="11.7109375" style="1829" customWidth="1"/>
    <col min="35" max="35" width="8.5703125" style="1829" hidden="1" customWidth="1"/>
    <col min="36" max="36" width="4.7109375" style="1829" customWidth="1"/>
    <col min="37" max="37" width="115.7109375" style="1829" customWidth="1"/>
    <col min="38" max="39" width="10.5703125" style="1755"/>
    <col min="40" max="40" width="11.140625" style="1755" customWidth="1"/>
    <col min="41" max="42" width="10.5703125" style="1755"/>
  </cols>
  <sheetData>
    <row r="1" spans="1:42" ht="14.25" hidden="1" customHeight="1">
      <c r="X1" s="254"/>
      <c r="Y1" s="254"/>
      <c r="AE1" s="254"/>
      <c r="AF1" s="254"/>
    </row>
    <row r="2" spans="1:42" ht="23.25" hidden="1" customHeight="1">
      <c r="A2" s="1242"/>
      <c r="B2" s="1242"/>
      <c r="C2" s="1242"/>
      <c r="D2" s="1242"/>
      <c r="E2" s="2221">
        <v>1</v>
      </c>
      <c r="F2" s="1242"/>
      <c r="G2" s="1242"/>
      <c r="H2" s="1242"/>
      <c r="I2" s="1242"/>
      <c r="J2" s="1242"/>
      <c r="K2" s="1242"/>
      <c r="L2" s="1243"/>
      <c r="M2" s="1244"/>
      <c r="N2" s="1244"/>
      <c r="O2" s="1244"/>
      <c r="P2" s="285"/>
      <c r="Q2" s="284"/>
      <c r="R2" s="279"/>
      <c r="S2" s="1353" t="e">
        <f>INDEX(PT_DIFFERENTIATION_NUM_NTAR,MATCH(A2,PT_DIFFERENTIATION_NTAR_ID,0))</f>
        <v>#N/A</v>
      </c>
      <c r="T2" s="216" t="s">
        <v>124</v>
      </c>
      <c r="U2" s="218"/>
      <c r="V2" s="2215"/>
      <c r="W2" s="2216"/>
      <c r="X2" s="2216"/>
      <c r="Y2" s="2216"/>
      <c r="Z2" s="2216"/>
      <c r="AA2" s="2216"/>
      <c r="AB2" s="2217"/>
      <c r="AC2" s="2215" t="e">
        <f>INDEX(PT_DIFFERENTIATION_NTAR,MATCH(A2,PT_DIFFERENTIATION_NTAR_ID,0))</f>
        <v>#N/A</v>
      </c>
      <c r="AD2" s="2216"/>
      <c r="AE2" s="2216"/>
      <c r="AF2" s="2216"/>
      <c r="AG2" s="2216"/>
      <c r="AH2" s="2216"/>
      <c r="AI2" s="2216"/>
      <c r="AJ2" s="2217"/>
      <c r="AK2" s="1138"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2" s="428"/>
      <c r="AN2" s="428" t="str">
        <f t="shared" ref="AN2:AN13" si="0">IF(T2="","",T2)</f>
        <v>Наименование тарифа</v>
      </c>
      <c r="AO2" s="428"/>
      <c r="AP2" s="428"/>
    </row>
    <row r="3" spans="1:42" ht="23.25" hidden="1" customHeight="1">
      <c r="A3" s="1242"/>
      <c r="B3" s="1242"/>
      <c r="C3" s="1242"/>
      <c r="D3" s="1242"/>
      <c r="E3" s="2222"/>
      <c r="F3" s="2221">
        <v>1</v>
      </c>
      <c r="G3" s="1242"/>
      <c r="H3" s="1242"/>
      <c r="I3" s="1242"/>
      <c r="J3" s="1242"/>
      <c r="K3" s="1242"/>
      <c r="L3" s="1243"/>
      <c r="M3" s="1244"/>
      <c r="N3" s="1244"/>
      <c r="O3" s="1244"/>
      <c r="P3" s="1347"/>
      <c r="Q3" s="276"/>
      <c r="R3" s="277"/>
      <c r="S3" s="1353" t="e">
        <f>INDEX(PT_DIFFERENTIATION_NUM_TER,MATCH(B3,PT_DIFFERENTIATION_TER_ID,0))</f>
        <v>#N/A</v>
      </c>
      <c r="T3" s="228" t="s">
        <v>1463</v>
      </c>
      <c r="U3" s="218"/>
      <c r="V3" s="2215"/>
      <c r="W3" s="2216"/>
      <c r="X3" s="2216"/>
      <c r="Y3" s="2216"/>
      <c r="Z3" s="2216"/>
      <c r="AA3" s="2216"/>
      <c r="AB3" s="2217"/>
      <c r="AC3" s="2215" t="e">
        <f>INDEX(PT_DIFFERENTIATION_TER,MATCH(B3,PT_DIFFERENTIATION_TER_ID,0))</f>
        <v>#N/A</v>
      </c>
      <c r="AD3" s="2216"/>
      <c r="AE3" s="2216"/>
      <c r="AF3" s="2216"/>
      <c r="AG3" s="2216"/>
      <c r="AH3" s="2216"/>
      <c r="AI3" s="2216"/>
      <c r="AJ3" s="2217"/>
      <c r="AK3" s="1138" t="s">
        <v>1464</v>
      </c>
      <c r="AM3" s="428"/>
      <c r="AN3" s="428" t="str">
        <f t="shared" si="0"/>
        <v>Территория действия тарифа</v>
      </c>
      <c r="AO3" s="428"/>
      <c r="AP3" s="428"/>
    </row>
    <row r="4" spans="1:42" ht="23.25" hidden="1" customHeight="1">
      <c r="A4" s="1242"/>
      <c r="B4" s="1242"/>
      <c r="C4" s="1242"/>
      <c r="D4" s="1242"/>
      <c r="E4" s="2222"/>
      <c r="F4" s="2222"/>
      <c r="G4" s="2221">
        <v>1</v>
      </c>
      <c r="H4" s="1242"/>
      <c r="I4" s="1242"/>
      <c r="J4" s="1242"/>
      <c r="K4" s="1242"/>
      <c r="L4" s="1243"/>
      <c r="M4" s="1244"/>
      <c r="N4" s="1244"/>
      <c r="O4" s="1244"/>
      <c r="P4" s="278"/>
      <c r="Q4" s="276"/>
      <c r="R4" s="277"/>
      <c r="S4" s="1353" t="e">
        <f>INDEX(PT_DIFFERENTIATION_NUM_CS,MATCH(C4,PT_DIFFERENTIATION_CS_ID,0))</f>
        <v>#N/A</v>
      </c>
      <c r="T4" s="229" t="s">
        <v>2100</v>
      </c>
      <c r="U4" s="218"/>
      <c r="V4" s="2215"/>
      <c r="W4" s="2216"/>
      <c r="X4" s="2216"/>
      <c r="Y4" s="2216"/>
      <c r="Z4" s="2216"/>
      <c r="AA4" s="2216"/>
      <c r="AB4" s="2217"/>
      <c r="AC4" s="2215" t="e">
        <f>INDEX(PT_DIFFERENTIATION_CS,MATCH(C4,PT_DIFFERENTIATION_CS_ID,0))</f>
        <v>#N/A</v>
      </c>
      <c r="AD4" s="2216"/>
      <c r="AE4" s="2216"/>
      <c r="AF4" s="2216"/>
      <c r="AG4" s="2216"/>
      <c r="AH4" s="2216"/>
      <c r="AI4" s="2216"/>
      <c r="AJ4" s="2217"/>
      <c r="AK4" s="1138" t="s">
        <v>2101</v>
      </c>
      <c r="AM4" s="428"/>
      <c r="AN4" s="428" t="str">
        <f t="shared" si="0"/>
        <v>Наименование централизованной системы водоотведения</v>
      </c>
      <c r="AO4" s="428"/>
      <c r="AP4" s="428"/>
    </row>
    <row r="5" spans="1:42" ht="23.25" hidden="1" customHeight="1">
      <c r="A5" s="1242"/>
      <c r="B5" s="1242"/>
      <c r="C5" s="1242"/>
      <c r="D5" s="1242"/>
      <c r="E5" s="2222"/>
      <c r="F5" s="2222"/>
      <c r="G5" s="2222"/>
      <c r="H5" s="2222"/>
      <c r="I5" s="2223" t="e">
        <f>S4&amp;".1"</f>
        <v>#N/A</v>
      </c>
      <c r="J5" s="1242"/>
      <c r="K5" s="1242"/>
      <c r="L5" s="1243"/>
      <c r="P5" s="2143">
        <v>1</v>
      </c>
      <c r="Q5" s="1341"/>
      <c r="R5" s="280"/>
      <c r="S5" s="1353" t="e">
        <f>$I5</f>
        <v>#N/A</v>
      </c>
      <c r="T5" s="203" t="s">
        <v>1680</v>
      </c>
      <c r="U5" s="218"/>
      <c r="V5" s="2313"/>
      <c r="W5" s="2314"/>
      <c r="X5" s="2314"/>
      <c r="Y5" s="2314"/>
      <c r="Z5" s="2314"/>
      <c r="AA5" s="2314"/>
      <c r="AB5" s="2315"/>
      <c r="AC5" s="2316"/>
      <c r="AD5" s="2317"/>
      <c r="AE5" s="2317"/>
      <c r="AF5" s="2317"/>
      <c r="AG5" s="2317"/>
      <c r="AH5" s="2317"/>
      <c r="AI5" s="2317"/>
      <c r="AJ5" s="2318"/>
      <c r="AK5" s="1138" t="s">
        <v>1681</v>
      </c>
      <c r="AM5" s="428"/>
      <c r="AN5" s="428" t="str">
        <f t="shared" si="0"/>
        <v>Наименование признака дифференциации</v>
      </c>
      <c r="AO5" s="428"/>
      <c r="AP5" s="428"/>
    </row>
    <row r="6" spans="1:42" ht="23.25" hidden="1" customHeight="1">
      <c r="A6" s="1242"/>
      <c r="B6" s="1242"/>
      <c r="C6" s="1242"/>
      <c r="D6" s="1242"/>
      <c r="E6" s="2222"/>
      <c r="F6" s="2222"/>
      <c r="G6" s="2222"/>
      <c r="H6" s="2222"/>
      <c r="I6" s="2224"/>
      <c r="J6" s="2223" t="e">
        <f>I5&amp;".1"</f>
        <v>#N/A</v>
      </c>
      <c r="K6" s="1242"/>
      <c r="L6" s="1243" t="s">
        <v>1472</v>
      </c>
      <c r="P6" s="2143"/>
      <c r="Q6" s="2143">
        <v>1</v>
      </c>
      <c r="R6" s="281"/>
      <c r="S6" s="1353" t="e">
        <f>$J6</f>
        <v>#N/A</v>
      </c>
      <c r="T6" s="204" t="s">
        <v>1473</v>
      </c>
      <c r="U6" s="218"/>
      <c r="V6" s="2210"/>
      <c r="W6" s="2211"/>
      <c r="X6" s="2211"/>
      <c r="Y6" s="2211"/>
      <c r="Z6" s="2211"/>
      <c r="AA6" s="2211"/>
      <c r="AB6" s="2212"/>
      <c r="AC6" s="2210"/>
      <c r="AD6" s="2211"/>
      <c r="AE6" s="2211"/>
      <c r="AF6" s="2211"/>
      <c r="AG6" s="2211"/>
      <c r="AH6" s="2211"/>
      <c r="AI6" s="2211"/>
      <c r="AJ6" s="2212"/>
      <c r="AK6" s="1192" t="s">
        <v>1682</v>
      </c>
      <c r="AM6" s="428"/>
      <c r="AN6" s="428" t="str">
        <f t="shared" si="0"/>
        <v>Группа потребителей</v>
      </c>
      <c r="AO6" s="428"/>
      <c r="AP6" s="428"/>
    </row>
    <row r="7" spans="1:42" ht="23.25" hidden="1" customHeight="1">
      <c r="A7" s="1242"/>
      <c r="B7" s="1242"/>
      <c r="C7" s="1242"/>
      <c r="D7" s="1242"/>
      <c r="E7" s="2222"/>
      <c r="F7" s="2222"/>
      <c r="G7" s="2222"/>
      <c r="H7" s="2222"/>
      <c r="I7" s="2224"/>
      <c r="J7" s="2224"/>
      <c r="K7" s="2223" t="e">
        <f>J6&amp;".1"</f>
        <v>#N/A</v>
      </c>
      <c r="L7" s="1243"/>
      <c r="P7" s="2143"/>
      <c r="Q7" s="2143"/>
      <c r="R7" s="281">
        <v>1</v>
      </c>
      <c r="S7" s="1353" t="e">
        <f>$K7</f>
        <v>#N/A</v>
      </c>
      <c r="T7" s="1304"/>
      <c r="U7" s="218"/>
      <c r="V7" s="1664"/>
      <c r="W7" s="1664"/>
      <c r="X7" s="1666"/>
      <c r="Y7" s="2225"/>
      <c r="Z7" s="2017" t="s">
        <v>62</v>
      </c>
      <c r="AA7" s="2225"/>
      <c r="AB7" s="2017" t="s">
        <v>62</v>
      </c>
      <c r="AC7" s="1664"/>
      <c r="AD7" s="1664"/>
      <c r="AE7" s="1666"/>
      <c r="AF7" s="2225"/>
      <c r="AG7" s="2017" t="s">
        <v>62</v>
      </c>
      <c r="AH7" s="2227"/>
      <c r="AI7" s="2017" t="s">
        <v>62</v>
      </c>
      <c r="AJ7" s="1703"/>
      <c r="AK7" s="2319"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7" s="439" t="e">
        <f ca="1">STRCHECKDATE(V8:AJ8)</f>
        <v>#NAME?</v>
      </c>
      <c r="AM7" s="428"/>
      <c r="AN7" s="428" t="str">
        <f t="shared" si="0"/>
        <v/>
      </c>
      <c r="AO7" s="428"/>
      <c r="AP7" s="428"/>
    </row>
    <row r="8" spans="1:42" ht="0.75" hidden="1" customHeight="1">
      <c r="A8" s="1242"/>
      <c r="B8" s="1242"/>
      <c r="C8" s="1242"/>
      <c r="D8" s="1242"/>
      <c r="E8" s="2222"/>
      <c r="F8" s="2222"/>
      <c r="G8" s="2222"/>
      <c r="H8" s="2222"/>
      <c r="I8" s="2224"/>
      <c r="J8" s="2224"/>
      <c r="K8" s="2223"/>
      <c r="L8" s="1243"/>
      <c r="P8" s="2143"/>
      <c r="Q8" s="2143"/>
      <c r="R8" s="281"/>
      <c r="S8" s="1350"/>
      <c r="T8" s="218"/>
      <c r="U8" s="218"/>
      <c r="V8" s="1665"/>
      <c r="W8" s="1665"/>
      <c r="X8" s="1667" t="str">
        <f>Y7&amp;"-"&amp;AA7</f>
        <v>-</v>
      </c>
      <c r="Y8" s="2226"/>
      <c r="Z8" s="2017"/>
      <c r="AA8" s="2226"/>
      <c r="AB8" s="2017"/>
      <c r="AC8" s="1665"/>
      <c r="AD8" s="1665"/>
      <c r="AE8" s="1667" t="str">
        <f>AF7&amp;"-"&amp;AH7</f>
        <v>-</v>
      </c>
      <c r="AF8" s="2226"/>
      <c r="AG8" s="2017"/>
      <c r="AH8" s="2228"/>
      <c r="AI8" s="2017"/>
      <c r="AJ8" s="1704"/>
      <c r="AK8" s="2319"/>
      <c r="AM8" s="428"/>
      <c r="AN8" s="428" t="str">
        <f t="shared" si="0"/>
        <v/>
      </c>
      <c r="AO8" s="428"/>
      <c r="AP8" s="428"/>
    </row>
    <row r="9" spans="1:42" ht="21" hidden="1" customHeight="1">
      <c r="A9" s="1242"/>
      <c r="B9" s="1242"/>
      <c r="C9" s="1242"/>
      <c r="D9" s="1242"/>
      <c r="E9" s="2222"/>
      <c r="F9" s="2222"/>
      <c r="G9" s="2222"/>
      <c r="H9" s="2222"/>
      <c r="I9" s="2224"/>
      <c r="J9" s="2223"/>
      <c r="K9" s="1242"/>
      <c r="L9" s="1243"/>
      <c r="P9" s="2143"/>
      <c r="Q9" s="2143"/>
      <c r="R9" s="280"/>
      <c r="S9" s="1159"/>
      <c r="T9" s="205" t="s">
        <v>1683</v>
      </c>
      <c r="U9" s="294"/>
      <c r="V9" s="294"/>
      <c r="W9" s="294"/>
      <c r="X9" s="294"/>
      <c r="Y9" s="294"/>
      <c r="Z9" s="294"/>
      <c r="AA9" s="294"/>
      <c r="AB9" s="294"/>
      <c r="AC9" s="294"/>
      <c r="AD9" s="294"/>
      <c r="AE9" s="294"/>
      <c r="AF9" s="294"/>
      <c r="AG9" s="294"/>
      <c r="AH9" s="294"/>
      <c r="AI9" s="294"/>
      <c r="AJ9" s="294"/>
      <c r="AK9" s="1138" t="s">
        <v>1684</v>
      </c>
      <c r="AM9" s="428"/>
      <c r="AN9" s="428" t="str">
        <f t="shared" si="0"/>
        <v>Добавить значение признака дифференциации</v>
      </c>
      <c r="AO9" s="428"/>
      <c r="AP9" s="428"/>
    </row>
    <row r="10" spans="1:42" ht="21" hidden="1" customHeight="1">
      <c r="A10" s="1242"/>
      <c r="B10" s="1242"/>
      <c r="C10" s="1242"/>
      <c r="D10" s="1242"/>
      <c r="E10" s="2222"/>
      <c r="F10" s="2222"/>
      <c r="G10" s="2222"/>
      <c r="H10" s="2222"/>
      <c r="I10" s="2223"/>
      <c r="J10" s="1242"/>
      <c r="K10" s="1242"/>
      <c r="L10" s="1243"/>
      <c r="P10" s="2143"/>
      <c r="Q10" s="1341"/>
      <c r="R10" s="280"/>
      <c r="S10" s="1159"/>
      <c r="T10" s="291" t="s">
        <v>1478</v>
      </c>
      <c r="U10" s="294"/>
      <c r="V10" s="294"/>
      <c r="W10" s="294"/>
      <c r="X10" s="294"/>
      <c r="Y10" s="294"/>
      <c r="Z10" s="294"/>
      <c r="AA10" s="294"/>
      <c r="AB10" s="293"/>
      <c r="AC10" s="294"/>
      <c r="AD10" s="294"/>
      <c r="AE10" s="294"/>
      <c r="AF10" s="294"/>
      <c r="AG10" s="294"/>
      <c r="AH10" s="294"/>
      <c r="AI10" s="293"/>
      <c r="AJ10" s="294"/>
      <c r="AK10" s="1305"/>
      <c r="AM10" s="428"/>
      <c r="AN10" s="428" t="str">
        <f t="shared" si="0"/>
        <v>Добавить группу потребителей</v>
      </c>
      <c r="AO10" s="428"/>
      <c r="AP10" s="428"/>
    </row>
    <row r="11" spans="1:42" ht="21" hidden="1" customHeight="1">
      <c r="A11" s="1242"/>
      <c r="B11" s="1242"/>
      <c r="C11" s="1242"/>
      <c r="D11" s="1242"/>
      <c r="E11" s="2222"/>
      <c r="F11" s="2222"/>
      <c r="G11" s="2222"/>
      <c r="H11" s="2221"/>
      <c r="I11" s="1242"/>
      <c r="J11" s="1242"/>
      <c r="K11" s="1242"/>
      <c r="L11" s="1243"/>
      <c r="M11" s="1244"/>
      <c r="N11" s="1244"/>
      <c r="O11" s="464"/>
      <c r="P11" s="284"/>
      <c r="Q11" s="303"/>
      <c r="R11" s="279"/>
      <c r="S11" s="1159"/>
      <c r="T11" s="299" t="s">
        <v>1685</v>
      </c>
      <c r="U11" s="294"/>
      <c r="V11" s="294"/>
      <c r="W11" s="294"/>
      <c r="X11" s="294"/>
      <c r="Y11" s="294"/>
      <c r="Z11" s="294"/>
      <c r="AA11" s="294"/>
      <c r="AB11" s="293"/>
      <c r="AC11" s="294"/>
      <c r="AD11" s="294"/>
      <c r="AE11" s="294"/>
      <c r="AF11" s="294"/>
      <c r="AG11" s="294"/>
      <c r="AH11" s="294"/>
      <c r="AI11" s="293"/>
      <c r="AJ11" s="294"/>
      <c r="AK11" s="221"/>
      <c r="AM11" s="428"/>
      <c r="AN11" s="428" t="str">
        <f t="shared" si="0"/>
        <v>Добавить наименование признака дифференциации</v>
      </c>
      <c r="AO11" s="428"/>
      <c r="AP11" s="428"/>
    </row>
    <row r="12" spans="1:42" s="1755" customFormat="1" ht="0.75" hidden="1" customHeight="1">
      <c r="A12" s="1226"/>
      <c r="B12" s="1226"/>
      <c r="C12" s="1198"/>
      <c r="D12" s="1198"/>
      <c r="E12" s="2222"/>
      <c r="F12" s="2221"/>
      <c r="G12" s="1198"/>
      <c r="H12" s="1198"/>
      <c r="I12" s="1198"/>
      <c r="J12" s="1198"/>
      <c r="K12" s="1198"/>
      <c r="L12" s="1354"/>
      <c r="M12" s="1205"/>
      <c r="N12" s="1205"/>
      <c r="P12" s="1200"/>
      <c r="Q12" s="1201"/>
      <c r="R12" s="1200"/>
      <c r="S12" s="1206"/>
      <c r="T12" s="1209" t="s">
        <v>1439</v>
      </c>
      <c r="U12" s="1208"/>
      <c r="V12" s="1208"/>
      <c r="W12" s="1208"/>
      <c r="X12" s="1208"/>
      <c r="Y12" s="1208"/>
      <c r="Z12" s="1208"/>
      <c r="AA12" s="1208"/>
      <c r="AB12" s="1208"/>
      <c r="AC12" s="1208"/>
      <c r="AD12" s="1208"/>
      <c r="AE12" s="1208"/>
      <c r="AF12" s="1208"/>
      <c r="AG12" s="1208"/>
      <c r="AH12" s="1208"/>
      <c r="AI12" s="1208"/>
      <c r="AJ12" s="1208"/>
      <c r="AK12" s="1208"/>
      <c r="AM12" s="695"/>
      <c r="AN12" s="695" t="str">
        <f t="shared" si="0"/>
        <v>Добавить централизованную систему для дифференциации</v>
      </c>
      <c r="AO12" s="695"/>
      <c r="AP12" s="695"/>
    </row>
    <row r="13" spans="1:42" s="1755" customFormat="1" ht="0.75" hidden="1" customHeight="1">
      <c r="A13" s="1226"/>
      <c r="B13" s="1226"/>
      <c r="C13" s="1226"/>
      <c r="D13" s="1226"/>
      <c r="E13" s="2221"/>
      <c r="F13" s="1226"/>
      <c r="G13" s="1226"/>
      <c r="H13" s="1226"/>
      <c r="I13" s="1226"/>
      <c r="J13" s="1226"/>
      <c r="K13" s="1226"/>
      <c r="L13" s="1229"/>
      <c r="M13" s="1205"/>
      <c r="N13" s="1205"/>
      <c r="O13" s="446"/>
      <c r="P13" s="311"/>
      <c r="Q13" s="1227"/>
      <c r="R13" s="311"/>
      <c r="S13" s="1206"/>
      <c r="T13" s="1209" t="s">
        <v>1440</v>
      </c>
      <c r="U13" s="1208"/>
      <c r="V13" s="1208"/>
      <c r="W13" s="1208"/>
      <c r="X13" s="1208"/>
      <c r="Y13" s="1208"/>
      <c r="Z13" s="1208"/>
      <c r="AA13" s="1208"/>
      <c r="AB13" s="1208"/>
      <c r="AC13" s="1208"/>
      <c r="AD13" s="1208"/>
      <c r="AE13" s="1208"/>
      <c r="AF13" s="1208"/>
      <c r="AG13" s="1208"/>
      <c r="AH13" s="1208"/>
      <c r="AI13" s="1208"/>
      <c r="AJ13" s="1208"/>
      <c r="AK13" s="1208"/>
      <c r="AM13" s="428"/>
      <c r="AN13" s="428" t="str">
        <f t="shared" si="0"/>
        <v>Добавить территорию для дифференциации</v>
      </c>
      <c r="AO13" s="428"/>
      <c r="AP13" s="428"/>
    </row>
    <row r="14" spans="1:42" ht="14.25" hidden="1" customHeight="1">
      <c r="AB14" s="254"/>
      <c r="AI14" s="254"/>
    </row>
    <row r="15" spans="1:42" ht="14.25" hidden="1" customHeight="1">
      <c r="AC15" s="1668"/>
      <c r="AD15" s="1668"/>
      <c r="AE15" s="1669"/>
      <c r="AF15" s="2219"/>
      <c r="AG15" s="2218" t="s">
        <v>62</v>
      </c>
      <c r="AH15" s="2219"/>
      <c r="AI15" s="2218" t="s">
        <v>62</v>
      </c>
    </row>
    <row r="16" spans="1:42" ht="14.25" hidden="1" customHeight="1">
      <c r="AC16" s="1668"/>
      <c r="AD16" s="1668"/>
      <c r="AE16" s="1667" t="str">
        <f>AF15&amp;"-"&amp;AH15</f>
        <v>-</v>
      </c>
      <c r="AF16" s="2218"/>
      <c r="AG16" s="2218"/>
      <c r="AH16" s="2218"/>
      <c r="AI16" s="2218"/>
    </row>
    <row r="17" spans="1:42" ht="14.25" hidden="1" customHeight="1">
      <c r="AI17" s="254"/>
    </row>
    <row r="18" spans="1:42" s="1742" customFormat="1" ht="14.25" hidden="1" customHeight="1">
      <c r="L18" s="1338"/>
      <c r="M18" s="1241"/>
      <c r="N18" s="1241"/>
      <c r="O18" s="1246" t="s">
        <v>1480</v>
      </c>
      <c r="P18" s="1241"/>
      <c r="Q18" s="1250"/>
      <c r="R18" s="1250"/>
      <c r="S18" s="643"/>
      <c r="Y18" s="1246"/>
      <c r="AA18" s="1246"/>
      <c r="AB18" s="1245"/>
      <c r="AF18" s="1246"/>
      <c r="AH18" s="1246"/>
      <c r="AI18" s="1245"/>
      <c r="AL18" s="439"/>
      <c r="AM18" s="439"/>
      <c r="AN18" s="439"/>
      <c r="AO18" s="439"/>
      <c r="AP18" s="439"/>
    </row>
    <row r="19" spans="1:42" s="1742" customFormat="1" ht="14.25" hidden="1" customHeight="1">
      <c r="L19" s="1338"/>
      <c r="M19" s="1241"/>
      <c r="N19" s="1241"/>
      <c r="O19" s="1241"/>
      <c r="P19" s="1241"/>
      <c r="Q19" s="1250"/>
      <c r="R19" s="1250"/>
      <c r="S19" s="643"/>
      <c r="AB19" s="1245"/>
      <c r="AI19" s="1245"/>
      <c r="AL19" s="439"/>
      <c r="AM19" s="439"/>
      <c r="AN19" s="439"/>
      <c r="AO19" s="439"/>
      <c r="AP19" s="439"/>
    </row>
    <row r="20" spans="1:42" s="1742" customFormat="1" ht="12" hidden="1" customHeight="1">
      <c r="L20" s="1338"/>
      <c r="M20" s="1241"/>
      <c r="N20" s="1241"/>
      <c r="O20" s="1243" t="s">
        <v>1481</v>
      </c>
      <c r="P20" s="1241"/>
      <c r="Q20" s="1306"/>
      <c r="R20" s="1306"/>
      <c r="S20" s="643"/>
      <c r="T20" s="1034" t="s">
        <v>1482</v>
      </c>
      <c r="Z20" s="111" t="s">
        <v>1483</v>
      </c>
      <c r="AB20" s="111" t="s">
        <v>1484</v>
      </c>
      <c r="AC20" s="1034" t="s">
        <v>1482</v>
      </c>
      <c r="AG20" s="111" t="s">
        <v>1485</v>
      </c>
      <c r="AI20" s="111" t="s">
        <v>1484</v>
      </c>
    </row>
    <row r="21" spans="1:42" ht="14.25" hidden="1" customHeight="1">
      <c r="O21" s="1243"/>
    </row>
    <row r="22" spans="1:42" ht="14.25" hidden="1" customHeight="1">
      <c r="O22" s="1243"/>
    </row>
    <row r="23" spans="1:42" ht="14.25" customHeight="1">
      <c r="Q23" s="304"/>
      <c r="R23" s="304"/>
      <c r="S23" s="1156"/>
      <c r="T23" s="289"/>
      <c r="U23" s="289"/>
      <c r="V23" s="437"/>
      <c r="W23" s="437"/>
      <c r="X23" s="437"/>
      <c r="Y23" s="437"/>
      <c r="Z23" s="437"/>
      <c r="AA23" s="437"/>
      <c r="AB23" s="437"/>
      <c r="AC23" s="437"/>
      <c r="AD23" s="437"/>
      <c r="AE23" s="437"/>
      <c r="AF23" s="437"/>
      <c r="AG23" s="437"/>
      <c r="AH23" s="437"/>
      <c r="AI23" s="437"/>
    </row>
    <row r="24" spans="1:42" ht="32.25" customHeight="1">
      <c r="Q24" s="304"/>
      <c r="R24" s="304"/>
      <c r="S24" s="2065" t="str">
        <f>IF(TEMPLATE_GROUP="P",PT_P_FORM_VOTV_4_NAME_FORM,PT_R_FORM_VOTV_16_NAME_FORM)</f>
        <v>Форма 16. Информация о предложении расчетной величины тарифов организации водоотведения об установлении тарифов в сфере водоотведения на очередной период регулирования &lt;1&gt;</v>
      </c>
      <c r="T24" s="2065"/>
      <c r="U24" s="2065"/>
      <c r="V24" s="2065"/>
      <c r="W24" s="2065"/>
      <c r="X24" s="2065"/>
      <c r="Y24" s="2065"/>
      <c r="Z24" s="2065"/>
      <c r="AA24" s="2065"/>
      <c r="AB24" s="2065"/>
      <c r="AC24" s="2065"/>
      <c r="AD24" s="2065"/>
      <c r="AE24" s="2065"/>
      <c r="AF24" s="2065"/>
      <c r="AG24" s="2065"/>
      <c r="AH24" s="2065"/>
      <c r="AI24" s="1114"/>
    </row>
    <row r="25" spans="1:42" ht="14.25" customHeight="1">
      <c r="Q25" s="304"/>
      <c r="R25" s="304"/>
      <c r="S25" s="2088" t="str">
        <f>IF(org=0,"Не определено",org)</f>
        <v>МУП г. Астрахани "Коммунэнерго"</v>
      </c>
      <c r="T25" s="2088"/>
      <c r="U25" s="2088"/>
      <c r="V25" s="2088"/>
      <c r="W25" s="2088"/>
      <c r="X25" s="2088"/>
      <c r="Y25" s="2088"/>
      <c r="Z25" s="2088"/>
      <c r="AA25" s="2088"/>
      <c r="AB25" s="2088"/>
      <c r="AC25" s="2088"/>
      <c r="AD25" s="2088"/>
      <c r="AE25" s="2088"/>
      <c r="AF25" s="2088"/>
      <c r="AG25" s="2088"/>
      <c r="AH25" s="2088"/>
      <c r="AI25" s="1114"/>
    </row>
    <row r="26" spans="1:42" ht="14.25" hidden="1" customHeight="1">
      <c r="Q26" s="304"/>
      <c r="R26" s="304"/>
      <c r="S26" s="1156"/>
      <c r="T26" s="289"/>
      <c r="U26" s="289"/>
      <c r="V26" s="248"/>
      <c r="W26" s="248"/>
      <c r="X26" s="248"/>
      <c r="Y26" s="248"/>
      <c r="Z26" s="248"/>
      <c r="AA26" s="248"/>
      <c r="AB26" s="248"/>
      <c r="AC26" s="248"/>
      <c r="AD26" s="248"/>
      <c r="AE26" s="248"/>
      <c r="AF26" s="248"/>
      <c r="AG26" s="248"/>
      <c r="AH26" s="248"/>
      <c r="AI26" s="248"/>
      <c r="AJ26" s="437"/>
    </row>
    <row r="27" spans="1:42" s="1933" customFormat="1" ht="25.5" hidden="1" customHeight="1">
      <c r="A27" s="1247"/>
      <c r="B27" s="1247"/>
      <c r="C27" s="1247"/>
      <c r="D27" s="1247"/>
      <c r="E27" s="1247"/>
      <c r="F27" s="1247"/>
      <c r="G27" s="1247"/>
      <c r="H27" s="1247"/>
      <c r="I27" s="1247"/>
      <c r="J27" s="1247"/>
      <c r="K27" s="1247"/>
      <c r="L27" s="1248"/>
      <c r="M27" s="1247"/>
      <c r="N27" s="1247"/>
      <c r="O27" s="1247"/>
      <c r="S27" s="2213" t="s">
        <v>38</v>
      </c>
      <c r="T27" s="2213"/>
      <c r="U27" s="1251"/>
      <c r="V27" s="2214" t="str">
        <f>IF(TITLE_NAME_OR_PR_CHANGE="",IF(TITLE_NAME_OR_PR="","",TITLE_NAME_OR_PR),TITLE_NAME_OR_PR_CHANGE)</f>
        <v/>
      </c>
      <c r="W27" s="2214"/>
      <c r="X27" s="2214"/>
      <c r="Y27" s="2214"/>
      <c r="Z27" s="2214"/>
      <c r="AA27" s="2214"/>
      <c r="AB27" s="253"/>
      <c r="AC27" s="2214" t="str">
        <f>IF(TITLE_NAME_OR_PR_CHANGE="",IF(TITLE_NAME_OR_PR="","",TITLE_NAME_OR_PR),TITLE_NAME_OR_PR_CHANGE)</f>
        <v/>
      </c>
      <c r="AD27" s="2214"/>
      <c r="AE27" s="2214"/>
      <c r="AF27" s="2214"/>
      <c r="AG27" s="2214"/>
      <c r="AH27" s="2214"/>
      <c r="AI27" s="253"/>
      <c r="AJ27" s="253"/>
      <c r="AK27" s="199"/>
      <c r="AL27" s="295"/>
      <c r="AM27" s="295"/>
      <c r="AN27" s="295"/>
      <c r="AO27" s="295"/>
      <c r="AP27" s="295"/>
    </row>
    <row r="28" spans="1:42" s="1933" customFormat="1" ht="18.75" hidden="1" customHeight="1">
      <c r="A28" s="1247"/>
      <c r="B28" s="1247"/>
      <c r="C28" s="1247"/>
      <c r="D28" s="1247"/>
      <c r="E28" s="1247"/>
      <c r="F28" s="1247"/>
      <c r="G28" s="1247"/>
      <c r="H28" s="1247"/>
      <c r="I28" s="1247"/>
      <c r="J28" s="1247"/>
      <c r="K28" s="1247"/>
      <c r="L28" s="1248"/>
      <c r="M28" s="1247"/>
      <c r="N28" s="1247"/>
      <c r="O28" s="1247"/>
      <c r="S28" s="2213" t="s">
        <v>1486</v>
      </c>
      <c r="T28" s="2213"/>
      <c r="U28" s="1251"/>
      <c r="V28" s="2214" t="str">
        <f>IF(TITLE_DATE_CHANGE_PERIOD="",IF(TITLE_DATE_PR="","",TITLE_DATE_PR),TITLE_DATE_CHANGE_PERIOD)</f>
        <v/>
      </c>
      <c r="W28" s="2214"/>
      <c r="X28" s="2214"/>
      <c r="Y28" s="2214"/>
      <c r="Z28" s="2214"/>
      <c r="AA28" s="2214"/>
      <c r="AB28" s="253"/>
      <c r="AC28" s="2214" t="str">
        <f>IF(TITLE_DATE_CHANGE_PERIOD="",IF(TITLE_DATE_PR="","",TITLE_DATE_PR),TITLE_DATE_CHANGE_PERIOD)</f>
        <v/>
      </c>
      <c r="AD28" s="2214"/>
      <c r="AE28" s="2214"/>
      <c r="AF28" s="2214"/>
      <c r="AG28" s="2214"/>
      <c r="AH28" s="2214"/>
      <c r="AI28" s="253"/>
      <c r="AJ28" s="253"/>
      <c r="AK28" s="199"/>
      <c r="AL28" s="295"/>
      <c r="AM28" s="295"/>
      <c r="AN28" s="295"/>
      <c r="AO28" s="295"/>
      <c r="AP28" s="295"/>
    </row>
    <row r="29" spans="1:42" s="1933" customFormat="1" ht="18.75" hidden="1" customHeight="1">
      <c r="A29" s="1247"/>
      <c r="B29" s="1247"/>
      <c r="C29" s="1247"/>
      <c r="D29" s="1247"/>
      <c r="E29" s="1247"/>
      <c r="F29" s="1247"/>
      <c r="G29" s="1247"/>
      <c r="H29" s="1247"/>
      <c r="I29" s="1247"/>
      <c r="J29" s="1247"/>
      <c r="K29" s="1247"/>
      <c r="L29" s="1248"/>
      <c r="M29" s="1247"/>
      <c r="N29" s="1247"/>
      <c r="O29" s="1247"/>
      <c r="S29" s="2213" t="s">
        <v>1487</v>
      </c>
      <c r="T29" s="2213"/>
      <c r="U29" s="1251"/>
      <c r="V29" s="2214" t="str">
        <f>IF(TITLE_NUMBER_PR_CHANGE="",IF(TITLE_NUMBER_PR="","",TITLE_NUMBER_PR),TITLE_NUMBER_PR_CHANGE)</f>
        <v/>
      </c>
      <c r="W29" s="2214"/>
      <c r="X29" s="2214"/>
      <c r="Y29" s="2214"/>
      <c r="Z29" s="2214"/>
      <c r="AA29" s="2214"/>
      <c r="AB29" s="253"/>
      <c r="AC29" s="2214" t="str">
        <f>IF(TITLE_NUMBER_PR_CHANGE="",IF(TITLE_NUMBER_PR="","",TITLE_NUMBER_PR),TITLE_NUMBER_PR_CHANGE)</f>
        <v/>
      </c>
      <c r="AD29" s="2214"/>
      <c r="AE29" s="2214"/>
      <c r="AF29" s="2214"/>
      <c r="AG29" s="2214"/>
      <c r="AH29" s="2214"/>
      <c r="AI29" s="253"/>
      <c r="AJ29" s="253"/>
      <c r="AK29" s="199"/>
      <c r="AL29" s="295"/>
      <c r="AM29" s="295"/>
      <c r="AN29" s="295"/>
      <c r="AO29" s="295"/>
      <c r="AP29" s="295"/>
    </row>
    <row r="30" spans="1:42" s="1933" customFormat="1" ht="18.75" hidden="1" customHeight="1">
      <c r="A30" s="1247"/>
      <c r="B30" s="1247"/>
      <c r="C30" s="1247"/>
      <c r="D30" s="1247"/>
      <c r="E30" s="1247"/>
      <c r="F30" s="1247"/>
      <c r="G30" s="1247"/>
      <c r="H30" s="1247"/>
      <c r="I30" s="1247"/>
      <c r="J30" s="1247"/>
      <c r="K30" s="1247"/>
      <c r="L30" s="1248"/>
      <c r="M30" s="1247"/>
      <c r="N30" s="1247"/>
      <c r="O30" s="1247"/>
      <c r="S30" s="2213" t="s">
        <v>39</v>
      </c>
      <c r="T30" s="2213"/>
      <c r="U30" s="1251"/>
      <c r="V30" s="2214" t="str">
        <f>IF(TITLE_IST_PUB_CHANGE="",IF(TITLE_IST_PUB="","",TITLE_IST_PUB),TITLE_IST_PUB_CHANGE)</f>
        <v/>
      </c>
      <c r="W30" s="2214"/>
      <c r="X30" s="2214"/>
      <c r="Y30" s="2214"/>
      <c r="Z30" s="2214"/>
      <c r="AA30" s="2214"/>
      <c r="AB30" s="253"/>
      <c r="AC30" s="2214" t="str">
        <f>IF(TITLE_IST_PUB_CHANGE="",IF(TITLE_IST_PUB="","",TITLE_IST_PUB),TITLE_IST_PUB_CHANGE)</f>
        <v/>
      </c>
      <c r="AD30" s="2214"/>
      <c r="AE30" s="2214"/>
      <c r="AF30" s="2214"/>
      <c r="AG30" s="2214"/>
      <c r="AH30" s="2214"/>
      <c r="AI30" s="253"/>
      <c r="AJ30" s="253"/>
      <c r="AK30" s="199"/>
      <c r="AL30" s="295"/>
      <c r="AM30" s="295"/>
      <c r="AN30" s="295"/>
      <c r="AO30" s="295"/>
      <c r="AP30" s="295"/>
    </row>
    <row r="31" spans="1:42" ht="14.25" hidden="1" customHeight="1">
      <c r="Q31" s="304"/>
      <c r="R31" s="304"/>
      <c r="S31" s="1156"/>
      <c r="T31" s="289"/>
      <c r="U31" s="289"/>
      <c r="V31" s="248"/>
      <c r="W31" s="248"/>
      <c r="X31" s="248"/>
      <c r="Y31" s="248"/>
      <c r="Z31" s="248"/>
      <c r="AA31" s="248"/>
      <c r="AB31" s="248"/>
      <c r="AC31" s="248"/>
      <c r="AD31" s="248"/>
      <c r="AE31" s="248"/>
      <c r="AF31" s="248"/>
      <c r="AG31" s="248"/>
      <c r="AH31" s="248"/>
      <c r="AI31" s="248"/>
      <c r="AJ31" s="437"/>
    </row>
    <row r="32" spans="1:42" s="1933" customFormat="1" ht="18.75" hidden="1" customHeight="1">
      <c r="A32" s="1247"/>
      <c r="B32" s="1247"/>
      <c r="C32" s="1247"/>
      <c r="D32" s="1247"/>
      <c r="E32" s="1247"/>
      <c r="F32" s="1247"/>
      <c r="G32" s="1247"/>
      <c r="H32" s="1247"/>
      <c r="I32" s="1247"/>
      <c r="J32" s="1247"/>
      <c r="K32" s="1247"/>
      <c r="L32" s="1248"/>
      <c r="M32" s="1247"/>
      <c r="N32" s="1247"/>
      <c r="O32" s="1247"/>
      <c r="S32" s="2213" t="s">
        <v>1488</v>
      </c>
      <c r="T32" s="2213"/>
      <c r="U32" s="1251"/>
      <c r="V32" s="2214" t="str">
        <f>IF(TITLE_DATE_CHANGE_PERIOD="",IF(TITLE_DATE_PR="","",TITLE_DATE_PR),TITLE_DATE_CHANGE_PERIOD)</f>
        <v/>
      </c>
      <c r="W32" s="2214"/>
      <c r="X32" s="2214"/>
      <c r="Y32" s="2214"/>
      <c r="Z32" s="2214"/>
      <c r="AA32" s="2214"/>
      <c r="AB32" s="253"/>
      <c r="AC32" s="2214" t="str">
        <f>IF(TITLE_DATE_CHANGE_PERIOD="",IF(TITLE_DATE_PR="","",TITLE_DATE_PR),TITLE_DATE_CHANGE_PERIOD)</f>
        <v/>
      </c>
      <c r="AD32" s="2214"/>
      <c r="AE32" s="2214"/>
      <c r="AF32" s="2214"/>
      <c r="AG32" s="2214"/>
      <c r="AH32" s="2214"/>
      <c r="AI32" s="253"/>
      <c r="AJ32" s="253"/>
      <c r="AK32" s="199"/>
      <c r="AL32" s="295"/>
      <c r="AM32" s="295"/>
      <c r="AN32" s="295"/>
      <c r="AO32" s="295"/>
      <c r="AP32" s="295"/>
    </row>
    <row r="33" spans="1:42" s="1933" customFormat="1" ht="18.75" hidden="1" customHeight="1">
      <c r="A33" s="1247"/>
      <c r="B33" s="1247"/>
      <c r="C33" s="1247"/>
      <c r="D33" s="1247"/>
      <c r="E33" s="1247"/>
      <c r="F33" s="1247"/>
      <c r="G33" s="1247"/>
      <c r="H33" s="1247"/>
      <c r="I33" s="1247"/>
      <c r="J33" s="1247"/>
      <c r="K33" s="1247"/>
      <c r="L33" s="1248"/>
      <c r="M33" s="1247"/>
      <c r="N33" s="1247"/>
      <c r="O33" s="1247"/>
      <c r="S33" s="2213" t="s">
        <v>1489</v>
      </c>
      <c r="T33" s="2213"/>
      <c r="U33" s="1251"/>
      <c r="V33" s="2214" t="str">
        <f>IF(TITLE_NUMBER_PR_CHANGE="",IF(TITLE_NUMBER_PR="","",TITLE_NUMBER_PR),TITLE_NUMBER_PR_CHANGE)</f>
        <v/>
      </c>
      <c r="W33" s="2214"/>
      <c r="X33" s="2214"/>
      <c r="Y33" s="2214"/>
      <c r="Z33" s="2214"/>
      <c r="AA33" s="2214"/>
      <c r="AB33" s="253"/>
      <c r="AC33" s="2214" t="str">
        <f>IF(TITLE_NUMBER_PR_CHANGE="",IF(TITLE_NUMBER_PR="","",TITLE_NUMBER_PR),TITLE_NUMBER_PR_CHANGE)</f>
        <v/>
      </c>
      <c r="AD33" s="2214"/>
      <c r="AE33" s="2214"/>
      <c r="AF33" s="2214"/>
      <c r="AG33" s="2214"/>
      <c r="AH33" s="2214"/>
      <c r="AI33" s="253"/>
      <c r="AJ33" s="253"/>
      <c r="AK33" s="199"/>
      <c r="AL33" s="295"/>
      <c r="AM33" s="295"/>
      <c r="AN33" s="295"/>
      <c r="AO33" s="295"/>
      <c r="AP33" s="295"/>
    </row>
    <row r="34" spans="1:42" s="1933" customFormat="1" ht="0.75" customHeight="1">
      <c r="A34" s="1247"/>
      <c r="B34" s="1247"/>
      <c r="C34" s="1247"/>
      <c r="D34" s="1247"/>
      <c r="E34" s="1247"/>
      <c r="F34" s="1247"/>
      <c r="G34" s="1247"/>
      <c r="H34" s="1247"/>
      <c r="I34" s="1247"/>
      <c r="J34" s="1247"/>
      <c r="K34" s="1247"/>
      <c r="L34" s="1248"/>
      <c r="M34" s="1247"/>
      <c r="N34" s="1247"/>
      <c r="O34" s="1247"/>
      <c r="S34" s="250"/>
      <c r="T34" s="250"/>
      <c r="U34" s="1348"/>
      <c r="V34" s="253"/>
      <c r="W34" s="253"/>
      <c r="X34" s="253"/>
      <c r="Y34" s="253"/>
      <c r="Z34" s="253"/>
      <c r="AA34" s="253"/>
      <c r="AB34" s="197" t="s">
        <v>1490</v>
      </c>
      <c r="AC34" s="253"/>
      <c r="AD34" s="253"/>
      <c r="AE34" s="253"/>
      <c r="AF34" s="253"/>
      <c r="AG34" s="253"/>
      <c r="AH34" s="253"/>
      <c r="AI34" s="197" t="s">
        <v>1490</v>
      </c>
      <c r="AL34" s="295"/>
      <c r="AM34" s="295"/>
      <c r="AN34" s="295"/>
      <c r="AO34" s="295"/>
      <c r="AP34" s="295"/>
    </row>
    <row r="35" spans="1:42" ht="14.25" customHeight="1">
      <c r="Q35" s="304"/>
      <c r="R35" s="304"/>
      <c r="S35" s="1156"/>
      <c r="T35" s="289"/>
      <c r="U35" s="1115"/>
      <c r="V35" s="2232"/>
      <c r="W35" s="2232"/>
      <c r="X35" s="2232"/>
      <c r="Y35" s="2232"/>
      <c r="Z35" s="2232"/>
      <c r="AA35" s="2232"/>
      <c r="AB35" s="2232"/>
      <c r="AC35" s="2232"/>
      <c r="AD35" s="2232"/>
      <c r="AE35" s="2232"/>
      <c r="AF35" s="2232"/>
      <c r="AG35" s="2232"/>
      <c r="AH35" s="2232"/>
      <c r="AI35" s="2232"/>
    </row>
    <row r="36" spans="1:42" ht="14.25" customHeight="1">
      <c r="Q36" s="304"/>
      <c r="R36" s="304"/>
      <c r="S36" s="2007" t="s">
        <v>292</v>
      </c>
      <c r="T36" s="2007"/>
      <c r="U36" s="2007"/>
      <c r="V36" s="2007"/>
      <c r="W36" s="2007"/>
      <c r="X36" s="2007"/>
      <c r="Y36" s="2007"/>
      <c r="Z36" s="2007"/>
      <c r="AA36" s="2007"/>
      <c r="AB36" s="2007"/>
      <c r="AC36" s="2007"/>
      <c r="AD36" s="2007"/>
      <c r="AE36" s="2007"/>
      <c r="AF36" s="2007"/>
      <c r="AG36" s="2007"/>
      <c r="AH36" s="2007"/>
      <c r="AI36" s="2007"/>
      <c r="AJ36" s="2007"/>
      <c r="AK36" s="2007" t="s">
        <v>293</v>
      </c>
    </row>
    <row r="37" spans="1:42" ht="14.25" customHeight="1">
      <c r="Q37" s="304"/>
      <c r="R37" s="304"/>
      <c r="S37" s="2233" t="s">
        <v>87</v>
      </c>
      <c r="T37" s="2097" t="s">
        <v>1491</v>
      </c>
      <c r="U37" s="219"/>
      <c r="V37" s="2234" t="s">
        <v>1492</v>
      </c>
      <c r="W37" s="2235"/>
      <c r="X37" s="2235"/>
      <c r="Y37" s="2235"/>
      <c r="Z37" s="2235"/>
      <c r="AA37" s="2236"/>
      <c r="AB37" s="2237" t="s">
        <v>1493</v>
      </c>
      <c r="AC37" s="2234" t="s">
        <v>1492</v>
      </c>
      <c r="AD37" s="2235"/>
      <c r="AE37" s="2235"/>
      <c r="AF37" s="2235"/>
      <c r="AG37" s="2235"/>
      <c r="AH37" s="2236"/>
      <c r="AI37" s="2237" t="s">
        <v>1494</v>
      </c>
      <c r="AJ37" s="2240" t="s">
        <v>1495</v>
      </c>
      <c r="AK37" s="2007"/>
    </row>
    <row r="38" spans="1:42" ht="33.75" customHeight="1">
      <c r="Q38" s="304"/>
      <c r="R38" s="304"/>
      <c r="S38" s="2233"/>
      <c r="T38" s="2097"/>
      <c r="U38" s="924"/>
      <c r="V38" s="1343" t="s">
        <v>1686</v>
      </c>
      <c r="W38" s="1989" t="s">
        <v>1498</v>
      </c>
      <c r="X38" s="1988"/>
      <c r="Y38" s="1989" t="s">
        <v>1499</v>
      </c>
      <c r="Z38" s="1994"/>
      <c r="AA38" s="1988"/>
      <c r="AB38" s="2238"/>
      <c r="AC38" s="1343" t="s">
        <v>1686</v>
      </c>
      <c r="AD38" s="1989" t="s">
        <v>1498</v>
      </c>
      <c r="AE38" s="1988"/>
      <c r="AF38" s="1989" t="s">
        <v>1499</v>
      </c>
      <c r="AG38" s="1994"/>
      <c r="AH38" s="1988"/>
      <c r="AI38" s="2238"/>
      <c r="AJ38" s="2241"/>
      <c r="AK38" s="2007"/>
    </row>
    <row r="39" spans="1:42" ht="86.25" customHeight="1">
      <c r="A39" s="1249"/>
      <c r="B39" s="1249" t="s">
        <v>136</v>
      </c>
      <c r="C39" s="1249" t="s">
        <v>137</v>
      </c>
      <c r="D39" s="1249" t="s">
        <v>138</v>
      </c>
      <c r="E39" s="1243" t="s">
        <v>1500</v>
      </c>
      <c r="F39" s="1243" t="s">
        <v>1501</v>
      </c>
      <c r="G39" s="1243" t="s">
        <v>1502</v>
      </c>
      <c r="H39" s="1243"/>
      <c r="I39" s="1243" t="s">
        <v>1687</v>
      </c>
      <c r="J39" s="1243" t="s">
        <v>1505</v>
      </c>
      <c r="K39" s="1243" t="s">
        <v>1688</v>
      </c>
      <c r="L39" s="1243" t="s">
        <v>1481</v>
      </c>
      <c r="Q39" s="304"/>
      <c r="R39" s="304"/>
      <c r="S39" s="2233"/>
      <c r="T39" s="2097"/>
      <c r="U39" s="220"/>
      <c r="V39" s="1343" t="s">
        <v>2102</v>
      </c>
      <c r="W39" s="1090" t="s">
        <v>2103</v>
      </c>
      <c r="X39" s="1090" t="s">
        <v>1691</v>
      </c>
      <c r="Y39" s="1349" t="s">
        <v>1509</v>
      </c>
      <c r="Z39" s="2103" t="s">
        <v>1510</v>
      </c>
      <c r="AA39" s="2117"/>
      <c r="AB39" s="2239"/>
      <c r="AC39" s="1343" t="s">
        <v>2102</v>
      </c>
      <c r="AD39" s="1090" t="s">
        <v>2103</v>
      </c>
      <c r="AE39" s="1090" t="s">
        <v>1691</v>
      </c>
      <c r="AF39" s="1349" t="s">
        <v>1509</v>
      </c>
      <c r="AG39" s="2103" t="s">
        <v>1510</v>
      </c>
      <c r="AH39" s="2117"/>
      <c r="AI39" s="2239"/>
      <c r="AJ39" s="2242"/>
      <c r="AK39" s="2007"/>
    </row>
    <row r="40" spans="1:42" s="1708" customFormat="1" ht="11.25" hidden="1" customHeight="1">
      <c r="A40" s="1249"/>
      <c r="B40" s="1249"/>
      <c r="C40" s="1249"/>
      <c r="D40" s="1249"/>
      <c r="E40" s="1249"/>
      <c r="F40" s="1249"/>
      <c r="G40" s="1249"/>
      <c r="H40" s="1249"/>
      <c r="I40" s="1249"/>
      <c r="J40" s="1249"/>
      <c r="K40" s="1249"/>
      <c r="L40" s="1243"/>
      <c r="M40" s="1241"/>
      <c r="N40" s="1241"/>
      <c r="O40" s="1241"/>
      <c r="P40" s="1117"/>
      <c r="Q40" s="1118"/>
      <c r="R40" s="1133">
        <v>1</v>
      </c>
      <c r="S40" s="1158" t="s">
        <v>108</v>
      </c>
      <c r="T40" s="1134" t="s">
        <v>109</v>
      </c>
      <c r="U40" s="1116" t="str">
        <f ca="1">OFFSET(U40,0,-1)</f>
        <v>2</v>
      </c>
      <c r="V40" s="1342">
        <f ca="1">OFFSET(V40,0,-1)+1</f>
        <v>3</v>
      </c>
      <c r="W40" s="1342">
        <f ca="1">OFFSET(W40,0,-1)+1</f>
        <v>4</v>
      </c>
      <c r="X40" s="1342">
        <f ca="1">OFFSET(X40,0,-1)+1</f>
        <v>5</v>
      </c>
      <c r="Y40" s="1342">
        <f ca="1">OFFSET(Y40,0,-1)+1</f>
        <v>6</v>
      </c>
      <c r="Z40" s="2231">
        <f ca="1">OFFSET(Z40,0,-1)+1</f>
        <v>7</v>
      </c>
      <c r="AA40" s="2231"/>
      <c r="AB40" s="1342">
        <f ca="1">OFFSET(AB40,0,-2)+1</f>
        <v>8</v>
      </c>
      <c r="AC40" s="1342">
        <f ca="1">OFFSET(AC40,0,-1)+1</f>
        <v>9</v>
      </c>
      <c r="AD40" s="1342">
        <f ca="1">OFFSET(AD40,0,-1)+1</f>
        <v>10</v>
      </c>
      <c r="AE40" s="1342">
        <f ca="1">OFFSET(AE40,0,-1)+1</f>
        <v>11</v>
      </c>
      <c r="AF40" s="1342">
        <f ca="1">OFFSET(AF40,0,-1)+1</f>
        <v>12</v>
      </c>
      <c r="AG40" s="2231">
        <f ca="1">OFFSET(AG40,0,-1)+1</f>
        <v>13</v>
      </c>
      <c r="AH40" s="2231"/>
      <c r="AI40" s="1342">
        <f ca="1">OFFSET(AI40,0,-2)+1</f>
        <v>14</v>
      </c>
      <c r="AJ40" s="1116">
        <f ca="1">OFFSET(AJ40,0,-1)</f>
        <v>14</v>
      </c>
      <c r="AK40" s="1342">
        <f ca="1">OFFSET(AK40,0,-1)+1</f>
        <v>15</v>
      </c>
      <c r="AL40" s="439"/>
      <c r="AM40" s="439"/>
      <c r="AN40" s="439"/>
      <c r="AO40" s="439"/>
      <c r="AP40" s="439"/>
    </row>
    <row r="41" spans="1:42" ht="23.25" customHeight="1">
      <c r="A41" s="1242" t="s">
        <v>263</v>
      </c>
      <c r="B41" s="1242"/>
      <c r="C41" s="1242"/>
      <c r="D41" s="1242"/>
      <c r="E41" s="2221">
        <v>1</v>
      </c>
      <c r="F41" s="1242"/>
      <c r="G41" s="1242"/>
      <c r="H41" s="1242"/>
      <c r="I41" s="1242"/>
      <c r="J41" s="1242"/>
      <c r="K41" s="1242"/>
      <c r="L41" s="1243"/>
      <c r="M41" s="1244"/>
      <c r="N41" s="1244"/>
      <c r="O41" s="1244"/>
      <c r="P41" s="285"/>
      <c r="Q41" s="284"/>
      <c r="R41" s="279"/>
      <c r="S41" s="1353">
        <f>INDEX(PT_DIFFERENTIATION_NUM_NTAR,MATCH(A41,PT_DIFFERENTIATION_NTAR_ID,0))</f>
        <v>0</v>
      </c>
      <c r="T41" s="216" t="s">
        <v>124</v>
      </c>
      <c r="U41" s="218"/>
      <c r="V41" s="2215"/>
      <c r="W41" s="2216"/>
      <c r="X41" s="2216"/>
      <c r="Y41" s="2216"/>
      <c r="Z41" s="2216"/>
      <c r="AA41" s="2216"/>
      <c r="AB41" s="2217"/>
      <c r="AC41" s="2215" t="str">
        <f>INDEX(PT_DIFFERENTIATION_NTAR,MATCH(A41,PT_DIFFERENTIATION_NTAR_ID,0))</f>
        <v/>
      </c>
      <c r="AD41" s="2216"/>
      <c r="AE41" s="2216"/>
      <c r="AF41" s="2216"/>
      <c r="AG41" s="2216"/>
      <c r="AH41" s="2216"/>
      <c r="AI41" s="2216"/>
      <c r="AJ41" s="2217"/>
      <c r="AK41" s="1138"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41" s="428"/>
      <c r="AN41" s="428" t="str">
        <f t="shared" ref="AN41:AN53" si="1">IF(T41="","",T41)</f>
        <v>Наименование тарифа</v>
      </c>
      <c r="AO41" s="428"/>
      <c r="AP41" s="428"/>
    </row>
    <row r="42" spans="1:42" ht="23.25" customHeight="1">
      <c r="A42" s="1242" t="s">
        <v>263</v>
      </c>
      <c r="B42" s="1242" t="s">
        <v>264</v>
      </c>
      <c r="C42" s="1242"/>
      <c r="D42" s="1242"/>
      <c r="E42" s="2222"/>
      <c r="F42" s="2221">
        <v>1</v>
      </c>
      <c r="G42" s="1242"/>
      <c r="H42" s="1242"/>
      <c r="I42" s="1242"/>
      <c r="J42" s="1242"/>
      <c r="K42" s="1242"/>
      <c r="L42" s="1243"/>
      <c r="M42" s="1244"/>
      <c r="N42" s="1244"/>
      <c r="O42" s="1244"/>
      <c r="P42" s="1347"/>
      <c r="Q42" s="276"/>
      <c r="R42" s="277"/>
      <c r="S42" s="1353" t="str">
        <f>INDEX(PT_DIFFERENTIATION_NUM_TER,MATCH(B42,PT_DIFFERENTIATION_TER_ID,0))</f>
        <v>.</v>
      </c>
      <c r="T42" s="228" t="s">
        <v>1463</v>
      </c>
      <c r="U42" s="218"/>
      <c r="V42" s="2215"/>
      <c r="W42" s="2216"/>
      <c r="X42" s="2216"/>
      <c r="Y42" s="2216"/>
      <c r="Z42" s="2216"/>
      <c r="AA42" s="2216"/>
      <c r="AB42" s="2217"/>
      <c r="AC42" s="2215" t="str">
        <f>INDEX(PT_DIFFERENTIATION_TER,MATCH(B42,PT_DIFFERENTIATION_TER_ID,0))</f>
        <v/>
      </c>
      <c r="AD42" s="2216"/>
      <c r="AE42" s="2216"/>
      <c r="AF42" s="2216"/>
      <c r="AG42" s="2216"/>
      <c r="AH42" s="2216"/>
      <c r="AI42" s="2216"/>
      <c r="AJ42" s="2217"/>
      <c r="AK42" s="1138" t="s">
        <v>1464</v>
      </c>
      <c r="AM42" s="428"/>
      <c r="AN42" s="428" t="str">
        <f t="shared" si="1"/>
        <v>Территория действия тарифа</v>
      </c>
      <c r="AO42" s="428"/>
      <c r="AP42" s="428"/>
    </row>
    <row r="43" spans="1:42" ht="23.25" customHeight="1">
      <c r="A43" s="1242" t="s">
        <v>263</v>
      </c>
      <c r="B43" s="1242" t="s">
        <v>264</v>
      </c>
      <c r="C43" s="1242" t="s">
        <v>265</v>
      </c>
      <c r="D43" s="1242"/>
      <c r="E43" s="2222"/>
      <c r="F43" s="2222"/>
      <c r="G43" s="2221">
        <v>1</v>
      </c>
      <c r="H43" s="1242"/>
      <c r="I43" s="1242"/>
      <c r="J43" s="1242"/>
      <c r="K43" s="1242"/>
      <c r="L43" s="1243"/>
      <c r="M43" s="1244"/>
      <c r="N43" s="1244"/>
      <c r="O43" s="1244"/>
      <c r="P43" s="278"/>
      <c r="Q43" s="276"/>
      <c r="R43" s="277"/>
      <c r="S43" s="1353" t="str">
        <f>INDEX(PT_DIFFERENTIATION_NUM_CS,MATCH(C43,PT_DIFFERENTIATION_CS_ID,0))</f>
        <v>..</v>
      </c>
      <c r="T43" s="229" t="s">
        <v>2100</v>
      </c>
      <c r="U43" s="218"/>
      <c r="V43" s="2215"/>
      <c r="W43" s="2216"/>
      <c r="X43" s="2216"/>
      <c r="Y43" s="2216"/>
      <c r="Z43" s="2216"/>
      <c r="AA43" s="2216"/>
      <c r="AB43" s="2217"/>
      <c r="AC43" s="2215" t="str">
        <f>INDEX(PT_DIFFERENTIATION_CS,MATCH(C43,PT_DIFFERENTIATION_CS_ID,0))</f>
        <v/>
      </c>
      <c r="AD43" s="2216"/>
      <c r="AE43" s="2216"/>
      <c r="AF43" s="2216"/>
      <c r="AG43" s="2216"/>
      <c r="AH43" s="2216"/>
      <c r="AI43" s="2216"/>
      <c r="AJ43" s="2217"/>
      <c r="AK43" s="1138" t="s">
        <v>2101</v>
      </c>
      <c r="AM43" s="428"/>
      <c r="AN43" s="428" t="str">
        <f t="shared" si="1"/>
        <v>Наименование централизованной системы водоотведения</v>
      </c>
      <c r="AO43" s="428"/>
      <c r="AP43" s="428"/>
    </row>
    <row r="44" spans="1:42" ht="23.25" customHeight="1">
      <c r="A44" s="1242" t="s">
        <v>263</v>
      </c>
      <c r="B44" s="1242" t="s">
        <v>264</v>
      </c>
      <c r="C44" s="1242" t="s">
        <v>265</v>
      </c>
      <c r="D44" s="1242" t="s">
        <v>2107</v>
      </c>
      <c r="E44" s="2222"/>
      <c r="F44" s="2222"/>
      <c r="G44" s="2222"/>
      <c r="H44" s="2222"/>
      <c r="I44" s="2223" t="str">
        <f>S43&amp;".1"</f>
        <v>...1</v>
      </c>
      <c r="J44" s="1242"/>
      <c r="K44" s="1242"/>
      <c r="L44" s="1243"/>
      <c r="P44" s="2143">
        <v>1</v>
      </c>
      <c r="Q44" s="1341"/>
      <c r="R44" s="280"/>
      <c r="S44" s="1353" t="str">
        <f>$I44</f>
        <v>...1</v>
      </c>
      <c r="T44" s="203" t="s">
        <v>1680</v>
      </c>
      <c r="U44" s="218"/>
      <c r="V44" s="2313"/>
      <c r="W44" s="2314"/>
      <c r="X44" s="2314"/>
      <c r="Y44" s="2314"/>
      <c r="Z44" s="2314"/>
      <c r="AA44" s="2314"/>
      <c r="AB44" s="2315"/>
      <c r="AC44" s="2316"/>
      <c r="AD44" s="2317"/>
      <c r="AE44" s="2317"/>
      <c r="AF44" s="2317"/>
      <c r="AG44" s="2317"/>
      <c r="AH44" s="2317"/>
      <c r="AI44" s="2317"/>
      <c r="AJ44" s="2318"/>
      <c r="AK44" s="1138" t="s">
        <v>1681</v>
      </c>
      <c r="AM44" s="428"/>
      <c r="AN44" s="428" t="str">
        <f t="shared" si="1"/>
        <v>Наименование признака дифференциации</v>
      </c>
      <c r="AO44" s="428"/>
      <c r="AP44" s="428"/>
    </row>
    <row r="45" spans="1:42" ht="23.25" customHeight="1">
      <c r="A45" s="1242" t="s">
        <v>263</v>
      </c>
      <c r="B45" s="1242" t="s">
        <v>264</v>
      </c>
      <c r="C45" s="1242" t="s">
        <v>265</v>
      </c>
      <c r="D45" s="1242" t="s">
        <v>2107</v>
      </c>
      <c r="E45" s="2222"/>
      <c r="F45" s="2222"/>
      <c r="G45" s="2222"/>
      <c r="H45" s="2222"/>
      <c r="I45" s="2224"/>
      <c r="J45" s="2223" t="str">
        <f>I44&amp;".1"</f>
        <v>...1.1</v>
      </c>
      <c r="K45" s="1242"/>
      <c r="L45" s="1243" t="s">
        <v>1472</v>
      </c>
      <c r="P45" s="2143"/>
      <c r="Q45" s="2143">
        <v>1</v>
      </c>
      <c r="R45" s="281"/>
      <c r="S45" s="1353" t="str">
        <f>$J45</f>
        <v>...1.1</v>
      </c>
      <c r="T45" s="204" t="s">
        <v>1473</v>
      </c>
      <c r="U45" s="218"/>
      <c r="V45" s="2210"/>
      <c r="W45" s="2211"/>
      <c r="X45" s="2211"/>
      <c r="Y45" s="2211"/>
      <c r="Z45" s="2211"/>
      <c r="AA45" s="2211"/>
      <c r="AB45" s="2212"/>
      <c r="AC45" s="2210"/>
      <c r="AD45" s="2211"/>
      <c r="AE45" s="2211"/>
      <c r="AF45" s="2211"/>
      <c r="AG45" s="2211"/>
      <c r="AH45" s="2211"/>
      <c r="AI45" s="2211"/>
      <c r="AJ45" s="2212"/>
      <c r="AK45" s="1192" t="s">
        <v>1682</v>
      </c>
      <c r="AM45" s="428"/>
      <c r="AN45" s="428" t="str">
        <f t="shared" si="1"/>
        <v>Группа потребителей</v>
      </c>
      <c r="AO45" s="428"/>
      <c r="AP45" s="428"/>
    </row>
    <row r="46" spans="1:42" ht="23.25" customHeight="1">
      <c r="A46" s="1242" t="s">
        <v>263</v>
      </c>
      <c r="B46" s="1242" t="s">
        <v>264</v>
      </c>
      <c r="C46" s="1242" t="s">
        <v>265</v>
      </c>
      <c r="D46" s="1242" t="s">
        <v>2107</v>
      </c>
      <c r="E46" s="2222"/>
      <c r="F46" s="2222"/>
      <c r="G46" s="2222"/>
      <c r="H46" s="2222"/>
      <c r="I46" s="2224"/>
      <c r="J46" s="2224"/>
      <c r="K46" s="2223" t="str">
        <f>J45&amp;".1"</f>
        <v>...1.1.1</v>
      </c>
      <c r="L46" s="1243"/>
      <c r="P46" s="2143"/>
      <c r="Q46" s="2143"/>
      <c r="R46" s="281">
        <v>1</v>
      </c>
      <c r="S46" s="1353" t="str">
        <f>$K46</f>
        <v>...1.1.1</v>
      </c>
      <c r="T46" s="1304"/>
      <c r="U46" s="218"/>
      <c r="V46" s="1668"/>
      <c r="W46" s="1668"/>
      <c r="X46" s="1669"/>
      <c r="Y46" s="2219"/>
      <c r="Z46" s="2218" t="s">
        <v>62</v>
      </c>
      <c r="AA46" s="2219"/>
      <c r="AB46" s="2218" t="s">
        <v>62</v>
      </c>
      <c r="AC46" s="1664"/>
      <c r="AD46" s="1664"/>
      <c r="AE46" s="1666"/>
      <c r="AF46" s="2225"/>
      <c r="AG46" s="2017" t="s">
        <v>62</v>
      </c>
      <c r="AH46" s="2227"/>
      <c r="AI46" s="2017" t="s">
        <v>55</v>
      </c>
      <c r="AJ46" s="1703"/>
      <c r="AK46" s="2319"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46" s="439" t="e">
        <f ca="1">STRCHECKDATE(V47:AJ47)</f>
        <v>#NAME?</v>
      </c>
      <c r="AM46" s="428"/>
      <c r="AN46" s="428" t="str">
        <f t="shared" si="1"/>
        <v/>
      </c>
      <c r="AO46" s="428"/>
      <c r="AP46" s="428"/>
    </row>
    <row r="47" spans="1:42" ht="0" hidden="1" customHeight="1">
      <c r="A47" s="1242" t="s">
        <v>263</v>
      </c>
      <c r="B47" s="1242" t="s">
        <v>264</v>
      </c>
      <c r="C47" s="1242" t="s">
        <v>265</v>
      </c>
      <c r="D47" s="1242" t="s">
        <v>2107</v>
      </c>
      <c r="E47" s="2222"/>
      <c r="F47" s="2222"/>
      <c r="G47" s="2222"/>
      <c r="H47" s="2222"/>
      <c r="I47" s="2224"/>
      <c r="J47" s="2224"/>
      <c r="K47" s="2223"/>
      <c r="L47" s="1243"/>
      <c r="P47" s="2143"/>
      <c r="Q47" s="2143"/>
      <c r="R47" s="281"/>
      <c r="S47" s="1350"/>
      <c r="T47" s="218"/>
      <c r="U47" s="218"/>
      <c r="V47" s="1668"/>
      <c r="W47" s="1668"/>
      <c r="X47" s="1667" t="str">
        <f>Y46&amp;"-"&amp;AA46</f>
        <v>-</v>
      </c>
      <c r="Y47" s="2218"/>
      <c r="Z47" s="2218"/>
      <c r="AA47" s="2218"/>
      <c r="AB47" s="2218"/>
      <c r="AC47" s="1665"/>
      <c r="AD47" s="1665"/>
      <c r="AE47" s="1667" t="str">
        <f>AF46&amp;"-"&amp;AH46</f>
        <v>-</v>
      </c>
      <c r="AF47" s="2226"/>
      <c r="AG47" s="2017"/>
      <c r="AH47" s="2228"/>
      <c r="AI47" s="2017"/>
      <c r="AJ47" s="1704"/>
      <c r="AK47" s="2319"/>
      <c r="AM47" s="428"/>
      <c r="AN47" s="428" t="str">
        <f t="shared" si="1"/>
        <v/>
      </c>
      <c r="AO47" s="428"/>
      <c r="AP47" s="428"/>
    </row>
    <row r="48" spans="1:42" ht="21" customHeight="1">
      <c r="A48" s="1242" t="s">
        <v>263</v>
      </c>
      <c r="B48" s="1242" t="s">
        <v>264</v>
      </c>
      <c r="C48" s="1242" t="s">
        <v>265</v>
      </c>
      <c r="D48" s="1242" t="s">
        <v>2107</v>
      </c>
      <c r="E48" s="2222"/>
      <c r="F48" s="2222"/>
      <c r="G48" s="2222"/>
      <c r="H48" s="2222"/>
      <c r="I48" s="2224"/>
      <c r="J48" s="2223"/>
      <c r="K48" s="1242"/>
      <c r="L48" s="1243"/>
      <c r="P48" s="2143"/>
      <c r="Q48" s="2143"/>
      <c r="R48" s="280"/>
      <c r="S48" s="1159"/>
      <c r="T48" s="205" t="s">
        <v>1683</v>
      </c>
      <c r="U48" s="294"/>
      <c r="V48" s="294"/>
      <c r="W48" s="294"/>
      <c r="X48" s="294"/>
      <c r="Y48" s="294"/>
      <c r="Z48" s="294"/>
      <c r="AA48" s="294"/>
      <c r="AB48" s="294"/>
      <c r="AC48" s="294"/>
      <c r="AD48" s="294"/>
      <c r="AE48" s="294"/>
      <c r="AF48" s="294"/>
      <c r="AG48" s="294"/>
      <c r="AH48" s="294"/>
      <c r="AI48" s="294"/>
      <c r="AJ48" s="294"/>
      <c r="AK48" s="1138" t="s">
        <v>1684</v>
      </c>
      <c r="AM48" s="428"/>
      <c r="AN48" s="428" t="str">
        <f t="shared" si="1"/>
        <v>Добавить значение признака дифференциации</v>
      </c>
      <c r="AO48" s="428"/>
      <c r="AP48" s="428"/>
    </row>
    <row r="49" spans="1:42" ht="21" customHeight="1">
      <c r="A49" s="1242" t="s">
        <v>263</v>
      </c>
      <c r="B49" s="1242" t="s">
        <v>264</v>
      </c>
      <c r="C49" s="1242" t="s">
        <v>265</v>
      </c>
      <c r="D49" s="1242" t="s">
        <v>2107</v>
      </c>
      <c r="E49" s="2222"/>
      <c r="F49" s="2222"/>
      <c r="G49" s="2222"/>
      <c r="H49" s="2222"/>
      <c r="I49" s="2223"/>
      <c r="J49" s="1242"/>
      <c r="K49" s="1242"/>
      <c r="L49" s="1243"/>
      <c r="P49" s="2143"/>
      <c r="Q49" s="1341"/>
      <c r="R49" s="280"/>
      <c r="S49" s="1159"/>
      <c r="T49" s="291" t="s">
        <v>1478</v>
      </c>
      <c r="U49" s="294"/>
      <c r="V49" s="294"/>
      <c r="W49" s="294"/>
      <c r="X49" s="294"/>
      <c r="Y49" s="294"/>
      <c r="Z49" s="294"/>
      <c r="AA49" s="294"/>
      <c r="AB49" s="293"/>
      <c r="AC49" s="294"/>
      <c r="AD49" s="294"/>
      <c r="AE49" s="294"/>
      <c r="AF49" s="294"/>
      <c r="AG49" s="294"/>
      <c r="AH49" s="294"/>
      <c r="AI49" s="293"/>
      <c r="AJ49" s="294"/>
      <c r="AK49" s="1305"/>
      <c r="AM49" s="428"/>
      <c r="AN49" s="428" t="str">
        <f t="shared" si="1"/>
        <v>Добавить группу потребителей</v>
      </c>
      <c r="AO49" s="428"/>
      <c r="AP49" s="428"/>
    </row>
    <row r="50" spans="1:42" ht="21" customHeight="1">
      <c r="A50" s="1242" t="s">
        <v>263</v>
      </c>
      <c r="B50" s="1242" t="s">
        <v>264</v>
      </c>
      <c r="C50" s="1242" t="s">
        <v>265</v>
      </c>
      <c r="D50" s="1242" t="s">
        <v>2107</v>
      </c>
      <c r="E50" s="2222"/>
      <c r="F50" s="2222"/>
      <c r="G50" s="2222"/>
      <c r="H50" s="2221"/>
      <c r="I50" s="1242"/>
      <c r="J50" s="1242"/>
      <c r="K50" s="1242"/>
      <c r="L50" s="1243"/>
      <c r="M50" s="1244"/>
      <c r="N50" s="1244"/>
      <c r="O50" s="464"/>
      <c r="P50" s="284"/>
      <c r="Q50" s="303"/>
      <c r="R50" s="279"/>
      <c r="S50" s="1159"/>
      <c r="T50" s="299" t="s">
        <v>1685</v>
      </c>
      <c r="U50" s="294"/>
      <c r="V50" s="294"/>
      <c r="W50" s="294"/>
      <c r="X50" s="294"/>
      <c r="Y50" s="294"/>
      <c r="Z50" s="294"/>
      <c r="AA50" s="294"/>
      <c r="AB50" s="293"/>
      <c r="AC50" s="294"/>
      <c r="AD50" s="294"/>
      <c r="AE50" s="294"/>
      <c r="AF50" s="294"/>
      <c r="AG50" s="294"/>
      <c r="AH50" s="294"/>
      <c r="AI50" s="293"/>
      <c r="AJ50" s="294"/>
      <c r="AK50" s="221"/>
      <c r="AM50" s="428"/>
      <c r="AN50" s="428" t="str">
        <f t="shared" si="1"/>
        <v>Добавить наименование признака дифференциации</v>
      </c>
      <c r="AO50" s="428"/>
      <c r="AP50" s="428"/>
    </row>
    <row r="51" spans="1:42" s="1755" customFormat="1" ht="0.75" customHeight="1">
      <c r="A51" s="1226" t="s">
        <v>263</v>
      </c>
      <c r="B51" s="1226" t="s">
        <v>264</v>
      </c>
      <c r="C51" s="1198"/>
      <c r="D51" s="1198"/>
      <c r="E51" s="2222"/>
      <c r="F51" s="2221"/>
      <c r="G51" s="1198"/>
      <c r="H51" s="1198"/>
      <c r="I51" s="1198"/>
      <c r="J51" s="1198"/>
      <c r="K51" s="1198"/>
      <c r="L51" s="1354"/>
      <c r="M51" s="1205"/>
      <c r="N51" s="1205"/>
      <c r="P51" s="1200"/>
      <c r="Q51" s="1201"/>
      <c r="R51" s="1200"/>
      <c r="S51" s="1206"/>
      <c r="T51" s="1209" t="s">
        <v>1439</v>
      </c>
      <c r="U51" s="1208"/>
      <c r="V51" s="1208"/>
      <c r="W51" s="1208"/>
      <c r="X51" s="1208"/>
      <c r="Y51" s="1208"/>
      <c r="Z51" s="1208"/>
      <c r="AA51" s="1208"/>
      <c r="AB51" s="1208"/>
      <c r="AC51" s="1208"/>
      <c r="AD51" s="1208"/>
      <c r="AE51" s="1208"/>
      <c r="AF51" s="1208"/>
      <c r="AG51" s="1208"/>
      <c r="AH51" s="1208"/>
      <c r="AI51" s="1208"/>
      <c r="AJ51" s="1208"/>
      <c r="AK51" s="1208"/>
      <c r="AM51" s="695"/>
      <c r="AN51" s="695" t="str">
        <f t="shared" si="1"/>
        <v>Добавить централизованную систему для дифференциации</v>
      </c>
      <c r="AO51" s="695"/>
      <c r="AP51" s="695"/>
    </row>
    <row r="52" spans="1:42" s="1755" customFormat="1" ht="0.75" customHeight="1">
      <c r="A52" s="1226" t="s">
        <v>263</v>
      </c>
      <c r="B52" s="1226"/>
      <c r="C52" s="1226"/>
      <c r="D52" s="1226"/>
      <c r="E52" s="2221"/>
      <c r="F52" s="1226"/>
      <c r="G52" s="1226"/>
      <c r="H52" s="1226"/>
      <c r="I52" s="1226"/>
      <c r="J52" s="1226"/>
      <c r="K52" s="1226"/>
      <c r="L52" s="1229"/>
      <c r="M52" s="1205"/>
      <c r="N52" s="1205"/>
      <c r="O52" s="446"/>
      <c r="P52" s="311"/>
      <c r="Q52" s="1227"/>
      <c r="R52" s="311"/>
      <c r="S52" s="1206"/>
      <c r="T52" s="1209" t="s">
        <v>1440</v>
      </c>
      <c r="U52" s="1208"/>
      <c r="V52" s="1208"/>
      <c r="W52" s="1208"/>
      <c r="X52" s="1208"/>
      <c r="Y52" s="1208"/>
      <c r="Z52" s="1208"/>
      <c r="AA52" s="1208"/>
      <c r="AB52" s="1208"/>
      <c r="AC52" s="1208"/>
      <c r="AD52" s="1208"/>
      <c r="AE52" s="1208"/>
      <c r="AF52" s="1208"/>
      <c r="AG52" s="1208"/>
      <c r="AH52" s="1208"/>
      <c r="AI52" s="1208"/>
      <c r="AJ52" s="1208"/>
      <c r="AK52" s="1208"/>
      <c r="AM52" s="428"/>
      <c r="AN52" s="428" t="str">
        <f t="shared" si="1"/>
        <v>Добавить территорию для дифференциации</v>
      </c>
      <c r="AO52" s="428"/>
      <c r="AP52" s="428"/>
    </row>
    <row r="53" spans="1:42" s="1755" customFormat="1" ht="0.75" customHeight="1">
      <c r="A53" s="1198"/>
      <c r="B53" s="1198"/>
      <c r="C53" s="1198"/>
      <c r="D53" s="1198"/>
      <c r="E53" s="1226"/>
      <c r="F53" s="1198"/>
      <c r="G53" s="1198"/>
      <c r="H53" s="1198"/>
      <c r="I53" s="1198"/>
      <c r="J53" s="1198"/>
      <c r="K53" s="1198"/>
      <c r="L53" s="1354"/>
      <c r="M53" s="1205"/>
      <c r="N53" s="1205"/>
      <c r="P53" s="1200"/>
      <c r="Q53" s="1201"/>
      <c r="R53" s="1200"/>
      <c r="S53" s="1206"/>
      <c r="T53" s="1209" t="s">
        <v>1441</v>
      </c>
      <c r="U53" s="1208"/>
      <c r="V53" s="1208"/>
      <c r="W53" s="1208"/>
      <c r="X53" s="1208"/>
      <c r="Y53" s="1208"/>
      <c r="Z53" s="1208"/>
      <c r="AA53" s="1208"/>
      <c r="AB53" s="1208"/>
      <c r="AC53" s="1208"/>
      <c r="AD53" s="1208"/>
      <c r="AE53" s="1208"/>
      <c r="AF53" s="1208"/>
      <c r="AG53" s="1208"/>
      <c r="AH53" s="1208"/>
      <c r="AI53" s="1208"/>
      <c r="AJ53" s="1208"/>
      <c r="AK53" s="1208"/>
      <c r="AM53" s="695"/>
      <c r="AN53" s="695" t="str">
        <f t="shared" si="1"/>
        <v>Добавить наименование тарифа</v>
      </c>
      <c r="AO53" s="695"/>
      <c r="AP53" s="695"/>
    </row>
    <row r="54" spans="1:42" ht="11.25" customHeight="1">
      <c r="M54" s="1034"/>
      <c r="N54" s="1034"/>
      <c r="O54" s="464"/>
      <c r="P54" s="1029"/>
      <c r="Q54" s="1029"/>
      <c r="R54" s="1029"/>
      <c r="S54" s="1029"/>
      <c r="AL54" s="1029"/>
      <c r="AM54" s="1029"/>
      <c r="AN54" s="1029"/>
      <c r="AO54" s="1029"/>
      <c r="AP54" s="1029"/>
    </row>
    <row r="55" spans="1:42" ht="14.25" customHeight="1">
      <c r="O55" s="464"/>
      <c r="S55" s="1126" t="s">
        <v>1511</v>
      </c>
      <c r="T55" s="2220" t="s">
        <v>2105</v>
      </c>
      <c r="U55" s="2220"/>
      <c r="V55" s="2220"/>
      <c r="W55" s="2220"/>
      <c r="X55" s="2220"/>
      <c r="Y55" s="2220"/>
      <c r="Z55" s="2220"/>
      <c r="AA55" s="2220"/>
      <c r="AB55" s="2220"/>
      <c r="AC55" s="2220"/>
      <c r="AD55" s="2220"/>
      <c r="AE55" s="2220"/>
      <c r="AF55" s="2220"/>
      <c r="AG55" s="2220"/>
      <c r="AH55" s="2220"/>
      <c r="AI55" s="2220"/>
      <c r="AJ55" s="2220"/>
      <c r="AK55" s="2220"/>
    </row>
    <row r="56" spans="1:42" ht="14.25" customHeight="1">
      <c r="O56" s="464"/>
    </row>
    <row r="57" spans="1:42" ht="14.25" customHeight="1">
      <c r="O57" s="464"/>
      <c r="S57" s="1126" t="s">
        <v>1511</v>
      </c>
      <c r="T57" s="2220" t="s">
        <v>2106</v>
      </c>
      <c r="U57" s="2220"/>
      <c r="V57" s="2220"/>
      <c r="W57" s="2220"/>
      <c r="X57" s="2220"/>
      <c r="Y57" s="2220"/>
      <c r="Z57" s="2220"/>
      <c r="AA57" s="2220"/>
      <c r="AB57" s="2220"/>
      <c r="AC57" s="2220"/>
      <c r="AD57" s="2220"/>
      <c r="AE57" s="2220"/>
      <c r="AF57" s="2220"/>
      <c r="AG57" s="2220"/>
      <c r="AH57" s="2220"/>
      <c r="AI57" s="2220"/>
      <c r="AJ57" s="2220"/>
      <c r="AK57" s="2220"/>
    </row>
  </sheetData>
  <sheetProtection formatColumns="0" formatRows="0" insertRows="0" deleteColumns="0" deleteRows="0" sort="0" autoFilter="0"/>
  <mergeCells count="101">
    <mergeCell ref="E2:E13"/>
    <mergeCell ref="V2:AB2"/>
    <mergeCell ref="AC2:AJ2"/>
    <mergeCell ref="F3:F12"/>
    <mergeCell ref="V3:AB3"/>
    <mergeCell ref="AC3:AJ3"/>
    <mergeCell ref="G4:G11"/>
    <mergeCell ref="V4:AB4"/>
    <mergeCell ref="AC4:AJ4"/>
    <mergeCell ref="H5:H11"/>
    <mergeCell ref="I5:I10"/>
    <mergeCell ref="P5:P10"/>
    <mergeCell ref="V5:AB5"/>
    <mergeCell ref="AC5:AJ5"/>
    <mergeCell ref="J6:J9"/>
    <mergeCell ref="Q6:Q9"/>
    <mergeCell ref="V6:AB6"/>
    <mergeCell ref="AC6:AJ6"/>
    <mergeCell ref="K7:K8"/>
    <mergeCell ref="Y7:Y8"/>
    <mergeCell ref="AI7:AI8"/>
    <mergeCell ref="AK7:AK8"/>
    <mergeCell ref="AF15:AF16"/>
    <mergeCell ref="AG15:AG16"/>
    <mergeCell ref="AH15:AH16"/>
    <mergeCell ref="AI15:AI16"/>
    <mergeCell ref="Z7:Z8"/>
    <mergeCell ref="AA7:AA8"/>
    <mergeCell ref="AB7:AB8"/>
    <mergeCell ref="AF7:AF8"/>
    <mergeCell ref="AG7:AG8"/>
    <mergeCell ref="AH7:AH8"/>
    <mergeCell ref="S29:T29"/>
    <mergeCell ref="V29:AA29"/>
    <mergeCell ref="AC29:AH29"/>
    <mergeCell ref="S30:T30"/>
    <mergeCell ref="V30:AA30"/>
    <mergeCell ref="AC30:AH30"/>
    <mergeCell ref="S24:AH24"/>
    <mergeCell ref="S25:AH25"/>
    <mergeCell ref="S27:T27"/>
    <mergeCell ref="V27:AA27"/>
    <mergeCell ref="AC27:AH27"/>
    <mergeCell ref="S28:T28"/>
    <mergeCell ref="V28:AA28"/>
    <mergeCell ref="AC28:AH28"/>
    <mergeCell ref="AK36:AK39"/>
    <mergeCell ref="S37:S39"/>
    <mergeCell ref="T37:T39"/>
    <mergeCell ref="V37:AA37"/>
    <mergeCell ref="AB37:AB39"/>
    <mergeCell ref="AC37:AH37"/>
    <mergeCell ref="AI37:AI39"/>
    <mergeCell ref="S32:T32"/>
    <mergeCell ref="V32:AA32"/>
    <mergeCell ref="AC32:AH32"/>
    <mergeCell ref="S33:T33"/>
    <mergeCell ref="V33:AA33"/>
    <mergeCell ref="AC33:AH33"/>
    <mergeCell ref="AJ37:AJ39"/>
    <mergeCell ref="W38:X38"/>
    <mergeCell ref="Y38:AA38"/>
    <mergeCell ref="AD38:AE38"/>
    <mergeCell ref="AF38:AH38"/>
    <mergeCell ref="Z39:AA39"/>
    <mergeCell ref="AG39:AH39"/>
    <mergeCell ref="V35:AB35"/>
    <mergeCell ref="AC35:AI35"/>
    <mergeCell ref="S36:AJ36"/>
    <mergeCell ref="Z40:AA40"/>
    <mergeCell ref="AG40:AH40"/>
    <mergeCell ref="E41:E52"/>
    <mergeCell ref="V41:AB41"/>
    <mergeCell ref="AC41:AJ41"/>
    <mergeCell ref="F42:F51"/>
    <mergeCell ref="V42:AB42"/>
    <mergeCell ref="AC42:AJ42"/>
    <mergeCell ref="G43:G50"/>
    <mergeCell ref="V43:AB43"/>
    <mergeCell ref="AC43:AJ43"/>
    <mergeCell ref="H44:H50"/>
    <mergeCell ref="I44:I49"/>
    <mergeCell ref="P44:P49"/>
    <mergeCell ref="V44:AB44"/>
    <mergeCell ref="AC44:AJ44"/>
    <mergeCell ref="J45:J48"/>
    <mergeCell ref="Q45:Q48"/>
    <mergeCell ref="V45:AB45"/>
    <mergeCell ref="AC45:AJ45"/>
    <mergeCell ref="AG46:AG47"/>
    <mergeCell ref="AH46:AH47"/>
    <mergeCell ref="AI46:AI47"/>
    <mergeCell ref="AK46:AK47"/>
    <mergeCell ref="T55:AK55"/>
    <mergeCell ref="T57:AK57"/>
    <mergeCell ref="K46:K47"/>
    <mergeCell ref="Y46:Y47"/>
    <mergeCell ref="Z46:Z47"/>
    <mergeCell ref="AA46:AA47"/>
    <mergeCell ref="AB46:AB47"/>
    <mergeCell ref="AF46:AF47"/>
  </mergeCells>
  <dataValidations count="8">
    <dataValidation allowBlank="1" promptTitle="checkPeriodRange" sqref="X65579 X131115 X196651 X262187 X327723 X393259 X458795 X524331 X589867 X655403 X720939 X786475 X852011 X917547 X983083 AE16 AE65579 AE131115 AE196651 AE262187 AE327723 AE393259 AE458795 AE524331 AE589867 AE655403 AE720939 AE786475 AE852011 AE917547 AE983083 AE47 AE8 X8 X47"/>
    <dataValidation type="list" allowBlank="1" showInputMessage="1" showErrorMessage="1" errorTitle="Ошибка" error="Выберите значение из списка" sqref="V983080 V65576 V131112 V196648 V262184 V327720 V393256 V458792 V524328 V589864 V655400 V720936 V786472 V852008 V917544 AC983080 AC65576 AC131112 AC196648 AC262184 AC327720 AC393256 AC458792 AC524328 AC589864 AC655400 AC720936 AC786472 AC852008 AC917544">
      <formula1>kind_of_scheme_in</formula1>
    </dataValidation>
    <dataValidation type="textLength" operator="lessThanOrEqual" allowBlank="1" showInputMessage="1" showErrorMessage="1" errorTitle="Ошибка" error="Допускается ввод не более 900 символов!" sqref="AK65572:AK65579 AK131108:AK131115 AK196644:AK196651 AK262180:AK262187 AK327716:AK327723 AK393252:AK393259 AK458788:AK458795 AK524324:AK524331 AK589860:AK589867 AK655396:AK655403 AK720932:AK720939 AK786468:AK786475 AK852004:AK852011 AK917540:AK917547 AK983076:AK983083 T46 T7 AC5:AJ5 AC44:AJ44">
      <formula1>900</formula1>
    </dataValidation>
    <dataValidation type="list" allowBlank="1" showInputMessage="1" showErrorMessage="1" errorTitle="Ошибка" error="Выберите значение из списка" sqref="T65578 T131114 T196650 T262186 T327722 T393258 T458794 T524330 T589866 T655402 T720938 T786474 T852010 T917546 T983082">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Y65578 Y131114 Y196650 Y262186 Y327722 Y393258 Y458794 Y524330 Y589866 Y655402 Y720938 Y786474 Y852010 Y917546 Y983082 AA65578 AA131114 AA196650 AA262186 AA327722 AA393258 AA458794 AA524330 AA589866 AA655402 AA720938 AA786474 AA852010 AA917546 AA983082 AF15 AF65578 AF131114 AF196650 AF262186 AF327722 AF393258 AF458794 AF524330 AF589866 AF655402 AF720938 AF786474 AF852010 AF917546 AF983082 AH65578 AH131114 AH196650 AH262186 AH327722 AH393258 AH458794 AH524330 AH589866 AH655402 AH720938 AH786474 AH852010 AH917546 AH983082 AH46 AF46 AH15 AH7 AF7 Y7 AA7 Y46 AA46"/>
    <dataValidation allowBlank="1" showInputMessage="1" showErrorMessage="1" prompt="Для выбора выполните двойной щелчок левой клавиши мыши по соответствующей ячейке." sqref="Z65578 Z131114 Z196650 Z262186 Z327722 Z393258 Z458794 Z524330 Z589866 Z655402 Z720938 Z786474 Z852010 Z917546 Z983082 AB131114 AB458794 AB196650 AB262186 AB327722 AB393258 AB524330 AB589866 AB655402 AB720938 AB786474 AB852010 AB917546 AB983082 AB65578 AG65578 AG131114 AG196650 AG262186 AG327722 AG393258 AG458794 AG524330 AG589866 AG655402 AG720938 AG786474 AG852010 AG917546 AG983082 AI524330 AI196650 AI589866 AI655402 AI15 AI720938 AI786474 AI852010 AI917546 AI983082 AI65578 AI131114 AI458794 AI262186 AI7 AG46 AI327722 AG15 AG7 Z7 AB7 AI393258 AI46 Z46 AB46"/>
    <dataValidation allowBlank="1" sqref="S131116:AK131122 S196652:AK196658 S262188:AK262194 S327724:AK327730 S393260:AK393266 S458796:AK458802 S524332:AK524338 S589868:AK589874 S655404:AK655410 S720940:AK720946 S786476:AK786482 S852012:AK852018 S917548:AK917554 S983084:AK983090 S65580:AK65586"/>
    <dataValidation type="list" allowBlank="1" showInputMessage="1" errorTitle="Ошибка" error="Выберите значение из списка" prompt="Выберите значение из списка" sqref="V983081:AJ983081 V65577:AJ65577 V131113:AJ131113 V196649:AJ196649 V262185:AJ262185 V327721:AJ327721 V393257:AJ393257 V458793:AJ458793 V524329:AJ524329 V589865:AJ589865 V655401:AJ655401 V720937:AJ720937 V786473:AJ786473 V852009:AJ852009 V917545:AJ917545">
      <formula1>kind_of_cons</formula1>
    </dataValidation>
  </dataValidation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39997558519241921"/>
  </sheetPr>
  <dimension ref="A1:BH68"/>
  <sheetViews>
    <sheetView showGridLines="0" topLeftCell="R27" zoomScale="90" workbookViewId="0"/>
  </sheetViews>
  <sheetFormatPr defaultColWidth="10.5703125" defaultRowHeight="14.25" customHeight="1"/>
  <cols>
    <col min="1" max="1" width="11.5703125" style="1742" hidden="1" customWidth="1"/>
    <col min="2" max="2" width="11" style="1742" hidden="1" customWidth="1"/>
    <col min="3" max="3" width="10.5703125" style="1742" hidden="1"/>
    <col min="4" max="4" width="12.85546875" style="1742" hidden="1" customWidth="1"/>
    <col min="5" max="5" width="10" style="1742" hidden="1" customWidth="1"/>
    <col min="6" max="6" width="8.7109375" style="1742" hidden="1" customWidth="1"/>
    <col min="7" max="7" width="7.5703125" style="1742" hidden="1" customWidth="1"/>
    <col min="8" max="8" width="11.42578125" style="1742" hidden="1" customWidth="1"/>
    <col min="9" max="9" width="12" style="1742" hidden="1" customWidth="1"/>
    <col min="10" max="10" width="9.85546875" style="1742" hidden="1" customWidth="1"/>
    <col min="11" max="11" width="11.42578125" style="1742" hidden="1" customWidth="1"/>
    <col min="12" max="12" width="19.140625" style="1741" hidden="1" customWidth="1"/>
    <col min="13" max="14" width="12.28515625" style="1683" hidden="1" customWidth="1"/>
    <col min="15" max="15" width="23.42578125" style="1683" hidden="1" customWidth="1"/>
    <col min="16" max="16" width="3.7109375" style="1683" hidden="1" customWidth="1"/>
    <col min="17" max="17" width="3.7109375" style="1670" hidden="1" customWidth="1"/>
    <col min="18" max="18" width="3.7109375" style="1674" customWidth="1"/>
    <col min="19" max="19" width="12.7109375" style="1713" customWidth="1"/>
    <col min="20" max="20" width="32" style="1829" customWidth="1"/>
    <col min="21" max="21" width="0.140625" style="1829" customWidth="1"/>
    <col min="22" max="25" width="21.7109375" style="1829" hidden="1" customWidth="1"/>
    <col min="26" max="26" width="11.7109375" style="1829" hidden="1" customWidth="1"/>
    <col min="27" max="27" width="3.7109375" style="1829" hidden="1" customWidth="1"/>
    <col min="28" max="28" width="11.7109375" style="1829" hidden="1" customWidth="1"/>
    <col min="29" max="29" width="8.5703125" style="1829" hidden="1" customWidth="1"/>
    <col min="30" max="32" width="3.7109375" style="1829" customWidth="1"/>
    <col min="33" max="33" width="24.7109375" style="1829" customWidth="1"/>
    <col min="34" max="36" width="3.7109375" style="1829" customWidth="1"/>
    <col min="37" max="37" width="24.7109375" style="1829" customWidth="1"/>
    <col min="38" max="40" width="3.7109375" style="1829" customWidth="1"/>
    <col min="41" max="41" width="18.85546875" style="1829" customWidth="1"/>
    <col min="42" max="44" width="3.7109375" style="1829" customWidth="1"/>
    <col min="45" max="45" width="18.85546875" style="1829" customWidth="1"/>
    <col min="46" max="49" width="21.7109375" style="1829" customWidth="1"/>
    <col min="50" max="50" width="11.7109375" style="1829" customWidth="1"/>
    <col min="51" max="51" width="3.7109375" style="1829" customWidth="1"/>
    <col min="52" max="52" width="11.7109375" style="1829" customWidth="1"/>
    <col min="53" max="53" width="8.5703125" style="1829" hidden="1" customWidth="1"/>
    <col min="54" max="54" width="4.7109375" style="1829" customWidth="1"/>
    <col min="55" max="55" width="115.7109375" style="1829" customWidth="1"/>
    <col min="56" max="57" width="10.5703125" style="1755"/>
    <col min="58" max="58" width="11.140625" style="1755" customWidth="1"/>
    <col min="59" max="60" width="10.5703125" style="1755"/>
  </cols>
  <sheetData>
    <row r="1" spans="1:60" ht="14.25" hidden="1" customHeight="1">
      <c r="W1" s="254"/>
      <c r="Y1" s="254"/>
      <c r="Z1" s="254"/>
      <c r="AW1" s="254"/>
      <c r="AX1" s="254"/>
    </row>
    <row r="2" spans="1:60" ht="21" hidden="1" customHeight="1">
      <c r="A2" s="1242"/>
      <c r="B2" s="1242"/>
      <c r="C2" s="1242"/>
      <c r="D2" s="1242"/>
      <c r="E2" s="2221">
        <v>1</v>
      </c>
      <c r="F2" s="1242"/>
      <c r="G2" s="1242"/>
      <c r="H2" s="1242"/>
      <c r="I2" s="1242"/>
      <c r="J2" s="1242"/>
      <c r="K2" s="1242"/>
      <c r="L2" s="1243"/>
      <c r="M2" s="1244"/>
      <c r="N2" s="1244"/>
      <c r="O2" s="1244"/>
      <c r="P2" s="1277"/>
      <c r="Q2" s="770"/>
      <c r="R2" s="279"/>
      <c r="S2" s="1353" t="e">
        <f>INDEX(PT_DIFFERENTIATION_NUM_NTAR,MATCH(A2,PT_DIFFERENTIATION_NTAR_ID,0))</f>
        <v>#N/A</v>
      </c>
      <c r="T2" s="216" t="s">
        <v>124</v>
      </c>
      <c r="U2" s="218"/>
      <c r="V2" s="2216"/>
      <c r="W2" s="2216"/>
      <c r="X2" s="2216"/>
      <c r="Y2" s="2216"/>
      <c r="Z2" s="2216"/>
      <c r="AA2" s="2216"/>
      <c r="AB2" s="2216"/>
      <c r="AC2" s="2217"/>
      <c r="AD2" s="2215" t="e">
        <f>INDEX(PT_DIFFERENTIATION_NTAR,MATCH(A2,PT_DIFFERENTIATION_NTAR_ID,0))</f>
        <v>#N/A</v>
      </c>
      <c r="AE2" s="2216"/>
      <c r="AF2" s="2216"/>
      <c r="AG2" s="2216"/>
      <c r="AH2" s="2216"/>
      <c r="AI2" s="2216"/>
      <c r="AJ2" s="2216"/>
      <c r="AK2" s="2216"/>
      <c r="AL2" s="2216"/>
      <c r="AM2" s="2216"/>
      <c r="AN2" s="2216"/>
      <c r="AO2" s="2216"/>
      <c r="AP2" s="2216"/>
      <c r="AQ2" s="2216"/>
      <c r="AR2" s="2216"/>
      <c r="AS2" s="2216"/>
      <c r="AT2" s="2216"/>
      <c r="AU2" s="2216"/>
      <c r="AV2" s="2216"/>
      <c r="AW2" s="2216"/>
      <c r="AX2" s="2216"/>
      <c r="AY2" s="2216"/>
      <c r="AZ2" s="2216"/>
      <c r="BA2" s="2216"/>
      <c r="BB2" s="2217"/>
      <c r="BC2" s="1138"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BE2" s="428"/>
      <c r="BF2" s="428" t="str">
        <f t="shared" ref="BF2:BF8" si="0">IF(T2="","",T2)</f>
        <v>Наименование тарифа</v>
      </c>
      <c r="BG2" s="428"/>
      <c r="BH2" s="428"/>
    </row>
    <row r="3" spans="1:60" ht="21" hidden="1" customHeight="1">
      <c r="A3" s="1242"/>
      <c r="B3" s="1242"/>
      <c r="C3" s="1242"/>
      <c r="D3" s="1242"/>
      <c r="E3" s="2222"/>
      <c r="F3" s="2221">
        <v>1</v>
      </c>
      <c r="G3" s="1242"/>
      <c r="H3" s="1242"/>
      <c r="I3" s="1242"/>
      <c r="J3" s="1242"/>
      <c r="K3" s="1242"/>
      <c r="L3" s="1243"/>
      <c r="M3" s="1244"/>
      <c r="N3" s="1244"/>
      <c r="O3" s="1244"/>
      <c r="P3" s="1278"/>
      <c r="Q3" s="1279"/>
      <c r="R3" s="277"/>
      <c r="S3" s="1353" t="e">
        <f>INDEX(PT_DIFFERENTIATION_NUM_TER,MATCH(B3,PT_DIFFERENTIATION_TER_ID,0))</f>
        <v>#N/A</v>
      </c>
      <c r="T3" s="228" t="s">
        <v>1463</v>
      </c>
      <c r="U3" s="218"/>
      <c r="V3" s="2216"/>
      <c r="W3" s="2216"/>
      <c r="X3" s="2216"/>
      <c r="Y3" s="2216"/>
      <c r="Z3" s="2216"/>
      <c r="AA3" s="2216"/>
      <c r="AB3" s="2216"/>
      <c r="AC3" s="2217"/>
      <c r="AD3" s="2215" t="e">
        <f>INDEX(PT_DIFFERENTIATION_TER,MATCH(B3,PT_DIFFERENTIATION_TER_ID,0))</f>
        <v>#N/A</v>
      </c>
      <c r="AE3" s="2216"/>
      <c r="AF3" s="2216"/>
      <c r="AG3" s="2216"/>
      <c r="AH3" s="2216"/>
      <c r="AI3" s="2216"/>
      <c r="AJ3" s="2216"/>
      <c r="AK3" s="2216"/>
      <c r="AL3" s="2216"/>
      <c r="AM3" s="2216"/>
      <c r="AN3" s="2216"/>
      <c r="AO3" s="2216"/>
      <c r="AP3" s="2216"/>
      <c r="AQ3" s="2216"/>
      <c r="AR3" s="2216"/>
      <c r="AS3" s="2216"/>
      <c r="AT3" s="2216"/>
      <c r="AU3" s="2216"/>
      <c r="AV3" s="2216"/>
      <c r="AW3" s="2216"/>
      <c r="AX3" s="2216"/>
      <c r="AY3" s="2216"/>
      <c r="AZ3" s="2216"/>
      <c r="BA3" s="2216"/>
      <c r="BB3" s="2217"/>
      <c r="BC3" s="1138" t="s">
        <v>1464</v>
      </c>
      <c r="BE3" s="428"/>
      <c r="BF3" s="428" t="str">
        <f t="shared" si="0"/>
        <v>Территория действия тарифа</v>
      </c>
      <c r="BG3" s="428"/>
      <c r="BH3" s="428"/>
    </row>
    <row r="4" spans="1:60" ht="33.75" hidden="1" customHeight="1">
      <c r="A4" s="1242"/>
      <c r="B4" s="1242"/>
      <c r="C4" s="1242"/>
      <c r="D4" s="1242"/>
      <c r="E4" s="2222"/>
      <c r="F4" s="2222"/>
      <c r="G4" s="2221">
        <v>1</v>
      </c>
      <c r="H4" s="1242"/>
      <c r="I4" s="1242"/>
      <c r="J4" s="1242"/>
      <c r="K4" s="1242"/>
      <c r="L4" s="1243"/>
      <c r="M4" s="1244"/>
      <c r="N4" s="1244"/>
      <c r="O4" s="1244"/>
      <c r="P4" s="1280"/>
      <c r="Q4" s="1279"/>
      <c r="R4" s="277"/>
      <c r="S4" s="1353" t="e">
        <f>INDEX(PT_DIFFERENTIATION_NUM_CS,MATCH(C4,PT_DIFFERENTIATION_CS_ID,0))</f>
        <v>#N/A</v>
      </c>
      <c r="T4" s="229" t="s">
        <v>2100</v>
      </c>
      <c r="U4" s="218"/>
      <c r="V4" s="2216"/>
      <c r="W4" s="2216"/>
      <c r="X4" s="2216"/>
      <c r="Y4" s="2216"/>
      <c r="Z4" s="2216"/>
      <c r="AA4" s="2216"/>
      <c r="AB4" s="2216"/>
      <c r="AC4" s="2217"/>
      <c r="AD4" s="2215" t="e">
        <f>INDEX(PT_DIFFERENTIATION_CS,MATCH(C4,PT_DIFFERENTIATION_CS_ID,0))</f>
        <v>#N/A</v>
      </c>
      <c r="AE4" s="2216"/>
      <c r="AF4" s="2216"/>
      <c r="AG4" s="2216"/>
      <c r="AH4" s="2216"/>
      <c r="AI4" s="2216"/>
      <c r="AJ4" s="2216"/>
      <c r="AK4" s="2216"/>
      <c r="AL4" s="2216"/>
      <c r="AM4" s="2216"/>
      <c r="AN4" s="2216"/>
      <c r="AO4" s="2216"/>
      <c r="AP4" s="2216"/>
      <c r="AQ4" s="2216"/>
      <c r="AR4" s="2216"/>
      <c r="AS4" s="2216"/>
      <c r="AT4" s="2216"/>
      <c r="AU4" s="2216"/>
      <c r="AV4" s="2216"/>
      <c r="AW4" s="2216"/>
      <c r="AX4" s="2216"/>
      <c r="AY4" s="2216"/>
      <c r="AZ4" s="2216"/>
      <c r="BA4" s="2216"/>
      <c r="BB4" s="2217"/>
      <c r="BC4" s="1138" t="s">
        <v>2101</v>
      </c>
      <c r="BE4" s="428"/>
      <c r="BF4" s="428" t="str">
        <f t="shared" si="0"/>
        <v>Наименование централизованной системы водоотведения</v>
      </c>
      <c r="BG4" s="428"/>
      <c r="BH4" s="428"/>
    </row>
    <row r="5" spans="1:60" s="1755" customFormat="1" ht="14.25" hidden="1" customHeight="1">
      <c r="A5" s="1226"/>
      <c r="B5" s="1226"/>
      <c r="C5" s="1226"/>
      <c r="D5" s="1226"/>
      <c r="E5" s="2222"/>
      <c r="F5" s="2222"/>
      <c r="G5" s="2222"/>
      <c r="H5" s="2221">
        <v>1</v>
      </c>
      <c r="I5" s="1226"/>
      <c r="J5" s="1226"/>
      <c r="K5" s="1226"/>
      <c r="L5" s="1229"/>
      <c r="M5" s="1199"/>
      <c r="N5" s="1199"/>
      <c r="O5" s="1199"/>
      <c r="P5" s="1356"/>
      <c r="Q5" s="1357"/>
      <c r="R5" s="281"/>
      <c r="S5" s="932"/>
      <c r="T5" s="1358"/>
      <c r="U5" s="1262"/>
      <c r="V5" s="2250"/>
      <c r="W5" s="2250"/>
      <c r="X5" s="2250"/>
      <c r="Y5" s="2250"/>
      <c r="Z5" s="2250"/>
      <c r="AA5" s="2250"/>
      <c r="AB5" s="2250"/>
      <c r="AC5" s="2251"/>
      <c r="AD5" s="2249"/>
      <c r="AE5" s="2250"/>
      <c r="AF5" s="2250"/>
      <c r="AG5" s="2250"/>
      <c r="AH5" s="2250"/>
      <c r="AI5" s="2250"/>
      <c r="AJ5" s="2250"/>
      <c r="AK5" s="2250"/>
      <c r="AL5" s="2250"/>
      <c r="AM5" s="2250"/>
      <c r="AN5" s="2250"/>
      <c r="AO5" s="2250"/>
      <c r="AP5" s="2250"/>
      <c r="AQ5" s="2250"/>
      <c r="AR5" s="2250"/>
      <c r="AS5" s="2250"/>
      <c r="AT5" s="2250"/>
      <c r="AU5" s="2250"/>
      <c r="AV5" s="2250"/>
      <c r="AW5" s="2250"/>
      <c r="AX5" s="2250"/>
      <c r="AY5" s="2250"/>
      <c r="AZ5" s="2250"/>
      <c r="BA5" s="2250"/>
      <c r="BB5" s="2251"/>
      <c r="BC5" s="1263" t="s">
        <v>1468</v>
      </c>
      <c r="BE5" s="428"/>
      <c r="BF5" s="428" t="str">
        <f t="shared" si="0"/>
        <v/>
      </c>
      <c r="BG5" s="428"/>
      <c r="BH5" s="428"/>
    </row>
    <row r="6" spans="1:60" s="1755" customFormat="1" ht="14.25" hidden="1" customHeight="1">
      <c r="A6" s="1226"/>
      <c r="B6" s="1226"/>
      <c r="C6" s="1226"/>
      <c r="D6" s="1226"/>
      <c r="E6" s="2222"/>
      <c r="F6" s="2222"/>
      <c r="G6" s="2222"/>
      <c r="H6" s="2222"/>
      <c r="I6" s="2223" t="str">
        <f>S5&amp;".1"</f>
        <v>.1</v>
      </c>
      <c r="J6" s="1226"/>
      <c r="K6" s="1226"/>
      <c r="L6" s="1229" t="s">
        <v>1469</v>
      </c>
      <c r="M6" s="438"/>
      <c r="N6" s="438"/>
      <c r="O6" s="438"/>
      <c r="P6" s="2143">
        <v>1</v>
      </c>
      <c r="Q6" s="1341"/>
      <c r="R6" s="280"/>
      <c r="S6" s="932"/>
      <c r="T6" s="1261"/>
      <c r="U6" s="1262"/>
      <c r="V6" s="2250"/>
      <c r="W6" s="2250"/>
      <c r="X6" s="2250"/>
      <c r="Y6" s="2250"/>
      <c r="Z6" s="2250"/>
      <c r="AA6" s="2250"/>
      <c r="AB6" s="2250"/>
      <c r="AC6" s="2251"/>
      <c r="AD6" s="2249"/>
      <c r="AE6" s="2250"/>
      <c r="AF6" s="2250"/>
      <c r="AG6" s="2250"/>
      <c r="AH6" s="2250"/>
      <c r="AI6" s="2250"/>
      <c r="AJ6" s="2250"/>
      <c r="AK6" s="2250"/>
      <c r="AL6" s="2250"/>
      <c r="AM6" s="2250"/>
      <c r="AN6" s="2250"/>
      <c r="AO6" s="2250"/>
      <c r="AP6" s="2250"/>
      <c r="AQ6" s="2250"/>
      <c r="AR6" s="2250"/>
      <c r="AS6" s="2250"/>
      <c r="AT6" s="2250"/>
      <c r="AU6" s="2250"/>
      <c r="AV6" s="2250"/>
      <c r="AW6" s="2250"/>
      <c r="AX6" s="2250"/>
      <c r="AY6" s="2250"/>
      <c r="AZ6" s="2250"/>
      <c r="BA6" s="2250"/>
      <c r="BB6" s="2251"/>
      <c r="BC6" s="1263"/>
      <c r="BE6" s="428"/>
      <c r="BF6" s="428" t="str">
        <f t="shared" si="0"/>
        <v/>
      </c>
      <c r="BG6" s="428"/>
      <c r="BH6" s="428"/>
    </row>
    <row r="7" spans="1:60" s="1755" customFormat="1" ht="14.25" hidden="1" customHeight="1">
      <c r="A7" s="1226"/>
      <c r="B7" s="1226"/>
      <c r="C7" s="1226"/>
      <c r="D7" s="1226"/>
      <c r="E7" s="2222"/>
      <c r="F7" s="2222"/>
      <c r="G7" s="2222"/>
      <c r="H7" s="2222"/>
      <c r="I7" s="2224"/>
      <c r="J7" s="2223" t="str">
        <f>S5&amp;".1"</f>
        <v>.1</v>
      </c>
      <c r="K7" s="1226"/>
      <c r="L7" s="1229"/>
      <c r="M7" s="438"/>
      <c r="N7" s="438"/>
      <c r="O7" s="438"/>
      <c r="P7" s="2143"/>
      <c r="Q7" s="2143">
        <v>1</v>
      </c>
      <c r="R7" s="281"/>
      <c r="S7" s="932"/>
      <c r="T7" s="1271"/>
      <c r="U7" s="1262"/>
      <c r="V7" s="2250"/>
      <c r="W7" s="2250"/>
      <c r="X7" s="2250"/>
      <c r="Y7" s="2250"/>
      <c r="Z7" s="2250"/>
      <c r="AA7" s="2250"/>
      <c r="AB7" s="2250"/>
      <c r="AC7" s="2251"/>
      <c r="AD7" s="2249"/>
      <c r="AE7" s="2250"/>
      <c r="AF7" s="2250"/>
      <c r="AG7" s="2250"/>
      <c r="AH7" s="2250"/>
      <c r="AI7" s="2250"/>
      <c r="AJ7" s="2250"/>
      <c r="AK7" s="2250"/>
      <c r="AL7" s="2250"/>
      <c r="AM7" s="2250"/>
      <c r="AN7" s="2250"/>
      <c r="AO7" s="2250"/>
      <c r="AP7" s="2250"/>
      <c r="AQ7" s="2250"/>
      <c r="AR7" s="2250"/>
      <c r="AS7" s="2250"/>
      <c r="AT7" s="2250"/>
      <c r="AU7" s="2250"/>
      <c r="AV7" s="2250"/>
      <c r="AW7" s="2250"/>
      <c r="AX7" s="2250"/>
      <c r="AY7" s="2250"/>
      <c r="AZ7" s="2250"/>
      <c r="BA7" s="2250"/>
      <c r="BB7" s="2251"/>
      <c r="BC7" s="1263"/>
      <c r="BE7" s="428"/>
      <c r="BF7" s="428" t="str">
        <f t="shared" si="0"/>
        <v/>
      </c>
      <c r="BG7" s="428"/>
      <c r="BH7" s="428"/>
    </row>
    <row r="8" spans="1:60" ht="11.25" hidden="1" customHeight="1">
      <c r="A8" s="1242"/>
      <c r="B8" s="1242"/>
      <c r="C8" s="1242"/>
      <c r="D8" s="1242"/>
      <c r="E8" s="2222"/>
      <c r="F8" s="2222"/>
      <c r="G8" s="2222"/>
      <c r="H8" s="2222"/>
      <c r="I8" s="2224"/>
      <c r="J8" s="2224"/>
      <c r="K8" s="2223" t="e">
        <f>S4&amp;".1"</f>
        <v>#N/A</v>
      </c>
      <c r="L8" s="1243"/>
      <c r="P8" s="2143"/>
      <c r="Q8" s="2143"/>
      <c r="R8" s="2275">
        <v>1</v>
      </c>
      <c r="S8" s="2272" t="e">
        <f>$K8</f>
        <v>#N/A</v>
      </c>
      <c r="T8" s="2322"/>
      <c r="U8" s="218"/>
      <c r="V8" s="1664"/>
      <c r="W8" s="1666"/>
      <c r="X8" s="1664"/>
      <c r="Y8" s="1666"/>
      <c r="Z8" s="1591"/>
      <c r="AA8" s="1330" t="s">
        <v>62</v>
      </c>
      <c r="AB8" s="1591"/>
      <c r="AC8" s="1330" t="s">
        <v>62</v>
      </c>
      <c r="AD8" s="2079" t="s">
        <v>62</v>
      </c>
      <c r="AE8" s="2268"/>
      <c r="AF8" s="2267">
        <v>1</v>
      </c>
      <c r="AG8" s="2321"/>
      <c r="AH8" s="2017" t="s">
        <v>62</v>
      </c>
      <c r="AI8" s="2268"/>
      <c r="AJ8" s="2267">
        <v>1</v>
      </c>
      <c r="AK8" s="2320" t="s">
        <v>17</v>
      </c>
      <c r="AL8" s="2017" t="s">
        <v>62</v>
      </c>
      <c r="AM8" s="2067"/>
      <c r="AN8" s="2267">
        <v>1</v>
      </c>
      <c r="AO8" s="2325"/>
      <c r="AP8" s="2326" t="s">
        <v>62</v>
      </c>
      <c r="AQ8" s="231"/>
      <c r="AR8" s="1346">
        <v>1</v>
      </c>
      <c r="AS8" s="1352" t="s">
        <v>17</v>
      </c>
      <c r="AT8" s="1664"/>
      <c r="AU8" s="1666"/>
      <c r="AV8" s="1664"/>
      <c r="AW8" s="1666"/>
      <c r="AX8" s="1591"/>
      <c r="AY8" s="1330" t="s">
        <v>62</v>
      </c>
      <c r="AZ8" s="1591"/>
      <c r="BA8" s="1330" t="s">
        <v>62</v>
      </c>
      <c r="BB8" s="1672"/>
      <c r="BC8" s="2243" t="s">
        <v>1698</v>
      </c>
      <c r="BE8" s="428"/>
      <c r="BF8" s="428" t="str">
        <f t="shared" si="0"/>
        <v/>
      </c>
      <c r="BG8" s="428"/>
      <c r="BH8" s="428"/>
    </row>
    <row r="9" spans="1:60" ht="11.25" hidden="1" customHeight="1">
      <c r="A9" s="1242"/>
      <c r="B9" s="1242"/>
      <c r="C9" s="1242"/>
      <c r="D9" s="1242"/>
      <c r="E9" s="2222"/>
      <c r="F9" s="2222"/>
      <c r="G9" s="2222"/>
      <c r="H9" s="2222"/>
      <c r="I9" s="2224"/>
      <c r="J9" s="2224"/>
      <c r="K9" s="2223"/>
      <c r="L9" s="1243"/>
      <c r="P9" s="2143"/>
      <c r="Q9" s="2143"/>
      <c r="R9" s="2275"/>
      <c r="S9" s="2273"/>
      <c r="T9" s="2323"/>
      <c r="U9" s="218"/>
      <c r="V9" s="1680"/>
      <c r="W9" s="1686"/>
      <c r="X9" s="1680"/>
      <c r="Y9" s="1686"/>
      <c r="Z9" s="1680"/>
      <c r="AA9" s="1680"/>
      <c r="AB9" s="1680"/>
      <c r="AC9" s="1680"/>
      <c r="AD9" s="2080"/>
      <c r="AE9" s="2268"/>
      <c r="AF9" s="2267"/>
      <c r="AG9" s="2321"/>
      <c r="AH9" s="2017"/>
      <c r="AI9" s="2268"/>
      <c r="AJ9" s="2267"/>
      <c r="AK9" s="2320"/>
      <c r="AL9" s="2017"/>
      <c r="AM9" s="2072"/>
      <c r="AN9" s="2267"/>
      <c r="AO9" s="2325"/>
      <c r="AP9" s="2327"/>
      <c r="AQ9" s="238"/>
      <c r="AR9" s="351"/>
      <c r="AS9" s="351" t="s">
        <v>1699</v>
      </c>
      <c r="AT9" s="1680"/>
      <c r="AU9" s="1686"/>
      <c r="AV9" s="1680"/>
      <c r="AW9" s="1686"/>
      <c r="AX9" s="1680"/>
      <c r="AY9" s="1680"/>
      <c r="AZ9" s="1680"/>
      <c r="BA9" s="1680"/>
      <c r="BB9" s="1685"/>
      <c r="BC9" s="2244"/>
      <c r="BE9" s="428"/>
      <c r="BF9" s="428"/>
      <c r="BG9" s="428"/>
      <c r="BH9" s="428"/>
    </row>
    <row r="10" spans="1:60" ht="11.25" hidden="1" customHeight="1">
      <c r="A10" s="1242"/>
      <c r="B10" s="1242"/>
      <c r="C10" s="1242"/>
      <c r="D10" s="1242"/>
      <c r="E10" s="2222"/>
      <c r="F10" s="2222"/>
      <c r="G10" s="2222"/>
      <c r="H10" s="2222"/>
      <c r="I10" s="2224"/>
      <c r="J10" s="2224"/>
      <c r="K10" s="2223"/>
      <c r="L10" s="1243"/>
      <c r="P10" s="2143"/>
      <c r="Q10" s="2143"/>
      <c r="R10" s="2275"/>
      <c r="S10" s="2273"/>
      <c r="T10" s="2323"/>
      <c r="U10" s="218"/>
      <c r="V10" s="1680"/>
      <c r="W10" s="1686"/>
      <c r="X10" s="1680"/>
      <c r="Y10" s="1686"/>
      <c r="Z10" s="1680"/>
      <c r="AA10" s="1680"/>
      <c r="AB10" s="1680"/>
      <c r="AC10" s="1680"/>
      <c r="AD10" s="2080"/>
      <c r="AE10" s="2268"/>
      <c r="AF10" s="2267"/>
      <c r="AG10" s="2321"/>
      <c r="AH10" s="2017"/>
      <c r="AI10" s="2268"/>
      <c r="AJ10" s="2267"/>
      <c r="AK10" s="2320"/>
      <c r="AL10" s="2017"/>
      <c r="AM10" s="238"/>
      <c r="AN10" s="1359"/>
      <c r="AO10" s="1359" t="s">
        <v>2108</v>
      </c>
      <c r="AP10" s="351"/>
      <c r="AQ10" s="351"/>
      <c r="AR10" s="351"/>
      <c r="AS10" s="1680"/>
      <c r="AT10" s="1680"/>
      <c r="AU10" s="1686"/>
      <c r="AV10" s="1680"/>
      <c r="AW10" s="1686"/>
      <c r="AX10" s="1680"/>
      <c r="AY10" s="1680"/>
      <c r="AZ10" s="1680"/>
      <c r="BA10" s="1680"/>
      <c r="BB10" s="1685"/>
      <c r="BC10" s="2244"/>
      <c r="BE10" s="428"/>
      <c r="BF10" s="428"/>
      <c r="BG10" s="428"/>
      <c r="BH10" s="428"/>
    </row>
    <row r="11" spans="1:60" ht="11.25" hidden="1" customHeight="1">
      <c r="A11" s="1242"/>
      <c r="B11" s="1242"/>
      <c r="C11" s="1242"/>
      <c r="D11" s="1242"/>
      <c r="E11" s="2222"/>
      <c r="F11" s="2222"/>
      <c r="G11" s="2222"/>
      <c r="H11" s="2222"/>
      <c r="I11" s="2224"/>
      <c r="J11" s="2224"/>
      <c r="K11" s="2223"/>
      <c r="L11" s="1243"/>
      <c r="P11" s="2143"/>
      <c r="Q11" s="2143"/>
      <c r="R11" s="2275"/>
      <c r="S11" s="2273"/>
      <c r="T11" s="2323"/>
      <c r="U11" s="218"/>
      <c r="V11" s="1680"/>
      <c r="W11" s="1686"/>
      <c r="X11" s="1680"/>
      <c r="Y11" s="1686"/>
      <c r="Z11" s="1680"/>
      <c r="AA11" s="1680"/>
      <c r="AB11" s="1680"/>
      <c r="AC11" s="1680"/>
      <c r="AD11" s="2080"/>
      <c r="AE11" s="2268"/>
      <c r="AF11" s="2267"/>
      <c r="AG11" s="2321"/>
      <c r="AH11" s="2017"/>
      <c r="AI11" s="212"/>
      <c r="AJ11" s="350"/>
      <c r="AK11" s="233" t="s">
        <v>2109</v>
      </c>
      <c r="AL11" s="1680"/>
      <c r="AM11" s="1680"/>
      <c r="AN11" s="1680"/>
      <c r="AO11" s="1680"/>
      <c r="AP11" s="1680"/>
      <c r="AQ11" s="1680"/>
      <c r="AR11" s="1680"/>
      <c r="AS11" s="1680"/>
      <c r="AT11" s="1680"/>
      <c r="AU11" s="1686"/>
      <c r="AV11" s="1680"/>
      <c r="AW11" s="1686"/>
      <c r="AX11" s="1680"/>
      <c r="AY11" s="1680"/>
      <c r="AZ11" s="1680"/>
      <c r="BA11" s="1680"/>
      <c r="BB11" s="1685"/>
      <c r="BC11" s="2244"/>
      <c r="BE11" s="428"/>
      <c r="BF11" s="428"/>
      <c r="BG11" s="428"/>
      <c r="BH11" s="428"/>
    </row>
    <row r="12" spans="1:60" ht="11.25" hidden="1" customHeight="1">
      <c r="A12" s="1242"/>
      <c r="B12" s="1242"/>
      <c r="C12" s="1242"/>
      <c r="D12" s="1242"/>
      <c r="E12" s="2222"/>
      <c r="F12" s="2222"/>
      <c r="G12" s="2222"/>
      <c r="H12" s="2222"/>
      <c r="I12" s="2224"/>
      <c r="J12" s="2224"/>
      <c r="K12" s="2223"/>
      <c r="L12" s="1243"/>
      <c r="P12" s="2143"/>
      <c r="Q12" s="2143"/>
      <c r="R12" s="2275"/>
      <c r="S12" s="2274"/>
      <c r="T12" s="2324"/>
      <c r="U12" s="218"/>
      <c r="V12" s="1680"/>
      <c r="W12" s="1681" t="str">
        <f>Z8&amp;"-"&amp;AB8</f>
        <v>-</v>
      </c>
      <c r="X12" s="1680"/>
      <c r="Y12" s="1681" t="str">
        <f>AB8&amp;"-"&amp;AD8</f>
        <v>-да</v>
      </c>
      <c r="Z12" s="1680"/>
      <c r="AA12" s="1680"/>
      <c r="AB12" s="1680"/>
      <c r="AC12" s="1680"/>
      <c r="AD12" s="2022"/>
      <c r="AE12" s="232"/>
      <c r="AF12" s="234"/>
      <c r="AG12" s="351" t="s">
        <v>1702</v>
      </c>
      <c r="AH12" s="1680"/>
      <c r="AI12" s="1680"/>
      <c r="AJ12" s="1680"/>
      <c r="AK12" s="1680"/>
      <c r="AL12" s="1680"/>
      <c r="AM12" s="1680"/>
      <c r="AN12" s="1680"/>
      <c r="AO12" s="1680"/>
      <c r="AP12" s="1680"/>
      <c r="AQ12" s="1680"/>
      <c r="AR12" s="1680"/>
      <c r="AS12" s="1680"/>
      <c r="AT12" s="1680"/>
      <c r="AU12" s="1681" t="str">
        <f>AX8&amp;"-"&amp;AZ8</f>
        <v>-</v>
      </c>
      <c r="AV12" s="1680"/>
      <c r="AW12" s="1681" t="str">
        <f>AZ8&amp;"-"&amp;BB8</f>
        <v>-</v>
      </c>
      <c r="AX12" s="1680"/>
      <c r="AY12" s="1680"/>
      <c r="AZ12" s="1680"/>
      <c r="BA12" s="1680"/>
      <c r="BB12" s="1688" t="str">
        <f>BE8&amp;"-"&amp;BG8</f>
        <v>-</v>
      </c>
      <c r="BC12" s="2244"/>
      <c r="BE12" s="428"/>
      <c r="BF12" s="428" t="str">
        <f t="shared" ref="BF12:BF18" si="1">IF(T12="","",T12)</f>
        <v/>
      </c>
      <c r="BG12" s="428"/>
      <c r="BH12" s="428"/>
    </row>
    <row r="13" spans="1:60" ht="11.25" hidden="1" customHeight="1">
      <c r="A13" s="1242"/>
      <c r="B13" s="1242"/>
      <c r="C13" s="1242"/>
      <c r="D13" s="1242"/>
      <c r="E13" s="2222"/>
      <c r="F13" s="2222"/>
      <c r="G13" s="2222"/>
      <c r="H13" s="2222"/>
      <c r="I13" s="2224"/>
      <c r="J13" s="2223"/>
      <c r="K13" s="1242"/>
      <c r="L13" s="1243"/>
      <c r="P13" s="2143"/>
      <c r="Q13" s="2143"/>
      <c r="R13" s="280"/>
      <c r="S13" s="1159"/>
      <c r="T13" s="205" t="s">
        <v>1543</v>
      </c>
      <c r="U13" s="294"/>
      <c r="V13" s="294"/>
      <c r="W13" s="294"/>
      <c r="X13" s="294"/>
      <c r="Y13" s="294"/>
      <c r="Z13" s="294"/>
      <c r="AA13" s="294"/>
      <c r="AB13" s="294"/>
      <c r="AC13" s="294"/>
      <c r="AD13" s="1364"/>
      <c r="AE13" s="294"/>
      <c r="AF13" s="294"/>
      <c r="AG13" s="294"/>
      <c r="AH13" s="294"/>
      <c r="AI13" s="294"/>
      <c r="AJ13" s="294"/>
      <c r="AK13" s="294"/>
      <c r="AL13" s="294"/>
      <c r="AM13" s="294"/>
      <c r="AN13" s="294"/>
      <c r="AO13" s="294"/>
      <c r="AP13" s="294"/>
      <c r="AQ13" s="294"/>
      <c r="AR13" s="294"/>
      <c r="AS13" s="294"/>
      <c r="AT13" s="294"/>
      <c r="AU13" s="294"/>
      <c r="AV13" s="294"/>
      <c r="AW13" s="294"/>
      <c r="AX13" s="294"/>
      <c r="AY13" s="294"/>
      <c r="AZ13" s="294"/>
      <c r="BA13" s="294"/>
      <c r="BB13" s="251"/>
      <c r="BC13" s="2245"/>
      <c r="BE13" s="428"/>
      <c r="BF13" s="428" t="str">
        <f t="shared" si="1"/>
        <v>Добавить строку</v>
      </c>
      <c r="BG13" s="428"/>
      <c r="BH13" s="428"/>
    </row>
    <row r="14" spans="1:60" s="1755" customFormat="1" ht="14.25" hidden="1" customHeight="1">
      <c r="A14" s="1226"/>
      <c r="B14" s="1226"/>
      <c r="C14" s="1226"/>
      <c r="D14" s="1226"/>
      <c r="E14" s="2222"/>
      <c r="F14" s="2222"/>
      <c r="G14" s="2222"/>
      <c r="H14" s="2222"/>
      <c r="I14" s="2223"/>
      <c r="J14" s="1226"/>
      <c r="K14" s="1226"/>
      <c r="L14" s="1229"/>
      <c r="M14" s="438"/>
      <c r="N14" s="438"/>
      <c r="O14" s="438"/>
      <c r="P14" s="2143"/>
      <c r="Q14" s="1341"/>
      <c r="R14" s="280"/>
      <c r="S14" s="1264"/>
      <c r="T14" s="1265"/>
      <c r="U14" s="1266"/>
      <c r="V14" s="1266"/>
      <c r="W14" s="1266"/>
      <c r="X14" s="1266"/>
      <c r="Y14" s="1266"/>
      <c r="Z14" s="1266"/>
      <c r="AA14" s="1266"/>
      <c r="AB14" s="1266"/>
      <c r="AC14" s="1266"/>
      <c r="AD14" s="1266"/>
      <c r="AE14" s="1266"/>
      <c r="AF14" s="1266"/>
      <c r="AG14" s="1266"/>
      <c r="AH14" s="1266"/>
      <c r="AI14" s="1266"/>
      <c r="AJ14" s="1266"/>
      <c r="AK14" s="1266"/>
      <c r="AL14" s="1266"/>
      <c r="AM14" s="1266"/>
      <c r="AN14" s="1266"/>
      <c r="AO14" s="1266"/>
      <c r="AP14" s="1266"/>
      <c r="AQ14" s="1266"/>
      <c r="AR14" s="1266"/>
      <c r="AS14" s="1266"/>
      <c r="AT14" s="1266"/>
      <c r="AU14" s="1266"/>
      <c r="AV14" s="1266"/>
      <c r="AW14" s="1266"/>
      <c r="AX14" s="1266"/>
      <c r="AY14" s="1266"/>
      <c r="AZ14" s="1266"/>
      <c r="BA14" s="1266"/>
      <c r="BB14" s="1266"/>
      <c r="BC14" s="1267"/>
      <c r="BE14" s="428"/>
      <c r="BF14" s="428" t="str">
        <f t="shared" si="1"/>
        <v/>
      </c>
      <c r="BG14" s="428"/>
      <c r="BH14" s="428"/>
    </row>
    <row r="15" spans="1:60" s="1755" customFormat="1" ht="14.25" hidden="1" customHeight="1">
      <c r="A15" s="1226"/>
      <c r="B15" s="1226"/>
      <c r="C15" s="1226"/>
      <c r="D15" s="1226"/>
      <c r="E15" s="2222"/>
      <c r="F15" s="2222"/>
      <c r="G15" s="2222"/>
      <c r="H15" s="2221"/>
      <c r="I15" s="1226"/>
      <c r="J15" s="1226"/>
      <c r="K15" s="1226"/>
      <c r="L15" s="1229"/>
      <c r="M15" s="1199"/>
      <c r="N15" s="1199"/>
      <c r="O15" s="446"/>
      <c r="P15" s="311"/>
      <c r="Q15" s="1227"/>
      <c r="R15" s="1273"/>
      <c r="S15" s="1264"/>
      <c r="T15" s="1265"/>
      <c r="U15" s="1266"/>
      <c r="V15" s="1266"/>
      <c r="W15" s="1266"/>
      <c r="X15" s="1266"/>
      <c r="Y15" s="1266"/>
      <c r="Z15" s="1266"/>
      <c r="AA15" s="1266"/>
      <c r="AB15" s="1266"/>
      <c r="AC15" s="1266"/>
      <c r="AD15" s="1266"/>
      <c r="AE15" s="1266"/>
      <c r="AF15" s="1266"/>
      <c r="AG15" s="1266"/>
      <c r="AH15" s="1266"/>
      <c r="AI15" s="1266"/>
      <c r="AJ15" s="1266"/>
      <c r="AK15" s="1266"/>
      <c r="AL15" s="1266"/>
      <c r="AM15" s="1266"/>
      <c r="AN15" s="1266"/>
      <c r="AO15" s="1266"/>
      <c r="AP15" s="1266"/>
      <c r="AQ15" s="1266"/>
      <c r="AR15" s="1266"/>
      <c r="AS15" s="1266"/>
      <c r="AT15" s="1266"/>
      <c r="AU15" s="1266"/>
      <c r="AV15" s="1266"/>
      <c r="AW15" s="1266"/>
      <c r="AX15" s="1266"/>
      <c r="AY15" s="1266"/>
      <c r="AZ15" s="1266"/>
      <c r="BA15" s="1266"/>
      <c r="BB15" s="1266"/>
      <c r="BC15" s="1267"/>
      <c r="BE15" s="428"/>
      <c r="BF15" s="428" t="str">
        <f t="shared" si="1"/>
        <v/>
      </c>
      <c r="BG15" s="428"/>
      <c r="BH15" s="428"/>
    </row>
    <row r="16" spans="1:60" s="1755" customFormat="1" ht="14.25" hidden="1" customHeight="1">
      <c r="A16" s="1226"/>
      <c r="B16" s="1226"/>
      <c r="C16" s="1226"/>
      <c r="D16" s="1198"/>
      <c r="E16" s="2222"/>
      <c r="F16" s="2222"/>
      <c r="G16" s="2221"/>
      <c r="H16" s="1198"/>
      <c r="I16" s="1198"/>
      <c r="J16" s="1198"/>
      <c r="K16" s="1198"/>
      <c r="L16" s="1354"/>
      <c r="M16" s="1199"/>
      <c r="N16" s="1199"/>
      <c r="P16" s="1200"/>
      <c r="Q16" s="1201"/>
      <c r="R16" s="1200"/>
      <c r="S16" s="1206"/>
      <c r="T16" s="1209"/>
      <c r="U16" s="1208"/>
      <c r="V16" s="1208"/>
      <c r="W16" s="1208"/>
      <c r="X16" s="1208"/>
      <c r="Y16" s="1208"/>
      <c r="Z16" s="1208"/>
      <c r="AA16" s="1208"/>
      <c r="AB16" s="1208"/>
      <c r="AC16" s="1208"/>
      <c r="AD16" s="1208"/>
      <c r="AE16" s="1208"/>
      <c r="AF16" s="1208"/>
      <c r="AG16" s="1208"/>
      <c r="AH16" s="1208"/>
      <c r="AI16" s="1208"/>
      <c r="AJ16" s="1208"/>
      <c r="AK16" s="1208"/>
      <c r="AL16" s="1208"/>
      <c r="AM16" s="1208"/>
      <c r="AN16" s="1208"/>
      <c r="AO16" s="1208"/>
      <c r="AP16" s="1208"/>
      <c r="AQ16" s="1208"/>
      <c r="AR16" s="1208"/>
      <c r="AS16" s="1208"/>
      <c r="AT16" s="1208"/>
      <c r="AU16" s="1208"/>
      <c r="AV16" s="1208"/>
      <c r="AW16" s="1208"/>
      <c r="AX16" s="1208"/>
      <c r="AY16" s="1208"/>
      <c r="AZ16" s="1208"/>
      <c r="BA16" s="1208"/>
      <c r="BB16" s="1208"/>
      <c r="BC16" s="1208"/>
      <c r="BE16" s="695"/>
      <c r="BF16" s="695" t="str">
        <f t="shared" si="1"/>
        <v/>
      </c>
      <c r="BG16" s="695"/>
      <c r="BH16" s="695"/>
    </row>
    <row r="17" spans="1:60" s="1755" customFormat="1" ht="14.25" hidden="1" customHeight="1">
      <c r="A17" s="1226"/>
      <c r="B17" s="1226"/>
      <c r="C17" s="1198"/>
      <c r="D17" s="1198"/>
      <c r="E17" s="2222"/>
      <c r="F17" s="2221"/>
      <c r="G17" s="1198"/>
      <c r="H17" s="1198"/>
      <c r="I17" s="1198"/>
      <c r="J17" s="1198"/>
      <c r="K17" s="1198"/>
      <c r="L17" s="1354"/>
      <c r="M17" s="1205"/>
      <c r="N17" s="1205"/>
      <c r="P17" s="1200"/>
      <c r="Q17" s="1201"/>
      <c r="R17" s="1200"/>
      <c r="S17" s="1206"/>
      <c r="T17" s="1209" t="s">
        <v>1439</v>
      </c>
      <c r="U17" s="1208"/>
      <c r="V17" s="1208"/>
      <c r="W17" s="1208"/>
      <c r="X17" s="1208"/>
      <c r="Y17" s="1208"/>
      <c r="Z17" s="1208"/>
      <c r="AA17" s="1208"/>
      <c r="AB17" s="1208"/>
      <c r="AC17" s="1208"/>
      <c r="AD17" s="1208"/>
      <c r="AE17" s="1208"/>
      <c r="AF17" s="1208"/>
      <c r="AG17" s="1208"/>
      <c r="AH17" s="1208"/>
      <c r="AI17" s="1208"/>
      <c r="AJ17" s="1208"/>
      <c r="AK17" s="1208"/>
      <c r="AL17" s="1208"/>
      <c r="AM17" s="1208"/>
      <c r="AN17" s="1208"/>
      <c r="AO17" s="1208"/>
      <c r="AP17" s="1208"/>
      <c r="AQ17" s="1208"/>
      <c r="AR17" s="1208"/>
      <c r="AS17" s="1208"/>
      <c r="AT17" s="1208"/>
      <c r="AU17" s="1208"/>
      <c r="AV17" s="1208"/>
      <c r="AW17" s="1208"/>
      <c r="AX17" s="1208"/>
      <c r="AY17" s="1208"/>
      <c r="AZ17" s="1208"/>
      <c r="BA17" s="1208"/>
      <c r="BB17" s="1208"/>
      <c r="BC17" s="1208"/>
      <c r="BE17" s="695"/>
      <c r="BF17" s="695" t="str">
        <f t="shared" si="1"/>
        <v>Добавить централизованную систему для дифференциации</v>
      </c>
      <c r="BG17" s="695"/>
      <c r="BH17" s="695"/>
    </row>
    <row r="18" spans="1:60" s="1755" customFormat="1" ht="14.25" hidden="1" customHeight="1">
      <c r="A18" s="1226"/>
      <c r="B18" s="1226"/>
      <c r="C18" s="1226"/>
      <c r="D18" s="1226"/>
      <c r="E18" s="2221"/>
      <c r="F18" s="1226"/>
      <c r="G18" s="1226"/>
      <c r="H18" s="1226"/>
      <c r="I18" s="1226"/>
      <c r="J18" s="1226"/>
      <c r="K18" s="1226"/>
      <c r="L18" s="1229"/>
      <c r="M18" s="1205"/>
      <c r="N18" s="1205"/>
      <c r="O18" s="446"/>
      <c r="P18" s="311"/>
      <c r="Q18" s="1227"/>
      <c r="R18" s="311"/>
      <c r="S18" s="1206"/>
      <c r="T18" s="1209" t="s">
        <v>1440</v>
      </c>
      <c r="U18" s="1208"/>
      <c r="V18" s="1208"/>
      <c r="W18" s="1208"/>
      <c r="X18" s="1208"/>
      <c r="Y18" s="1208"/>
      <c r="Z18" s="1208"/>
      <c r="AA18" s="1208"/>
      <c r="AB18" s="1208"/>
      <c r="AC18" s="1208"/>
      <c r="AD18" s="1208"/>
      <c r="AE18" s="1208"/>
      <c r="AF18" s="1208"/>
      <c r="AG18" s="1208"/>
      <c r="AH18" s="1208"/>
      <c r="AI18" s="1208"/>
      <c r="AJ18" s="1208"/>
      <c r="AK18" s="1208"/>
      <c r="AL18" s="1208"/>
      <c r="AM18" s="1208"/>
      <c r="AN18" s="1208"/>
      <c r="AO18" s="1208"/>
      <c r="AP18" s="1208"/>
      <c r="AQ18" s="1208"/>
      <c r="AR18" s="1208"/>
      <c r="AS18" s="1208"/>
      <c r="AT18" s="1208"/>
      <c r="AU18" s="1208"/>
      <c r="AV18" s="1208"/>
      <c r="AW18" s="1208"/>
      <c r="AX18" s="1208"/>
      <c r="AY18" s="1208"/>
      <c r="AZ18" s="1208"/>
      <c r="BA18" s="1208"/>
      <c r="BB18" s="1208"/>
      <c r="BC18" s="1208"/>
      <c r="BE18" s="428"/>
      <c r="BF18" s="428" t="str">
        <f t="shared" si="1"/>
        <v>Добавить территорию для дифференциации</v>
      </c>
      <c r="BG18" s="428"/>
      <c r="BH18" s="428"/>
    </row>
    <row r="19" spans="1:60" ht="14.25" hidden="1" customHeight="1">
      <c r="AC19" s="254"/>
      <c r="BA19" s="254"/>
    </row>
    <row r="20" spans="1:60" ht="14.25" hidden="1" customHeight="1">
      <c r="AD20" s="1208" t="s">
        <v>55</v>
      </c>
      <c r="AE20" s="1360"/>
      <c r="AF20" s="475">
        <v>1</v>
      </c>
      <c r="AG20" s="1361"/>
      <c r="AH20" s="1208" t="s">
        <v>55</v>
      </c>
      <c r="AI20" s="1360"/>
      <c r="AJ20" s="475">
        <v>1</v>
      </c>
      <c r="AK20" s="1361"/>
      <c r="AL20" s="1208" t="s">
        <v>55</v>
      </c>
      <c r="AM20" s="1362"/>
      <c r="AN20" s="475">
        <v>1</v>
      </c>
      <c r="AO20" s="1363"/>
      <c r="AP20" s="1208" t="s">
        <v>55</v>
      </c>
      <c r="AQ20" s="1362"/>
      <c r="AR20" s="475">
        <v>1</v>
      </c>
      <c r="AS20" s="1363"/>
      <c r="AT20" s="1665"/>
      <c r="AU20" s="1675"/>
      <c r="AV20" s="1665"/>
      <c r="AW20" s="1675"/>
      <c r="AX20" s="1593"/>
      <c r="AY20" s="1345" t="s">
        <v>62</v>
      </c>
      <c r="AZ20" s="1593"/>
      <c r="BA20" s="1345" t="s">
        <v>62</v>
      </c>
    </row>
    <row r="21" spans="1:60" ht="14.25" hidden="1" customHeight="1">
      <c r="BD21" s="424"/>
      <c r="BE21" s="424"/>
      <c r="BF21" s="424"/>
      <c r="BG21" s="424"/>
      <c r="BH21" s="424"/>
    </row>
    <row r="22" spans="1:60" ht="14.25" hidden="1" customHeight="1">
      <c r="O22" s="1246" t="s">
        <v>1480</v>
      </c>
      <c r="Z22" s="1228"/>
      <c r="AB22" s="1228"/>
      <c r="AC22" s="254"/>
      <c r="AX22" s="1228"/>
      <c r="AZ22" s="1228"/>
      <c r="BA22" s="254"/>
      <c r="BD22" s="424"/>
      <c r="BE22" s="424"/>
      <c r="BF22" s="424"/>
      <c r="BG22" s="424"/>
      <c r="BH22" s="424"/>
    </row>
    <row r="23" spans="1:60" ht="14.25" hidden="1" customHeight="1">
      <c r="AC23" s="254"/>
      <c r="BA23" s="254"/>
      <c r="BD23" s="424"/>
      <c r="BE23" s="424"/>
      <c r="BF23" s="424"/>
      <c r="BG23" s="424"/>
      <c r="BH23" s="424"/>
    </row>
    <row r="24" spans="1:60" s="1691" customFormat="1" ht="14.25" hidden="1" customHeight="1">
      <c r="M24" s="1367"/>
      <c r="N24" s="1367"/>
      <c r="O24" s="1368" t="s">
        <v>1481</v>
      </c>
      <c r="P24" s="1367"/>
      <c r="Q24" s="1369"/>
      <c r="R24" s="1369"/>
      <c r="AA24" s="1366" t="s">
        <v>1483</v>
      </c>
      <c r="AC24" s="1366" t="s">
        <v>1484</v>
      </c>
      <c r="AD24" s="1366" t="s">
        <v>1544</v>
      </c>
      <c r="AH24" s="1366" t="s">
        <v>1544</v>
      </c>
      <c r="AK24" s="1366" t="s">
        <v>1703</v>
      </c>
      <c r="AL24" s="1366" t="s">
        <v>1544</v>
      </c>
      <c r="AP24" s="1366" t="s">
        <v>1544</v>
      </c>
      <c r="AY24" s="1366" t="s">
        <v>1483</v>
      </c>
      <c r="BA24" s="1366" t="s">
        <v>1484</v>
      </c>
      <c r="BD24" s="1370"/>
      <c r="BE24" s="1370"/>
      <c r="BF24" s="1370"/>
      <c r="BG24" s="1370"/>
      <c r="BH24" s="1370"/>
    </row>
    <row r="25" spans="1:60" ht="14.25" hidden="1" customHeight="1">
      <c r="O25" s="1243"/>
      <c r="BD25" s="424"/>
      <c r="BE25" s="424"/>
      <c r="BF25" s="424"/>
      <c r="BG25" s="424"/>
      <c r="BH25" s="424"/>
    </row>
    <row r="26" spans="1:60" ht="14.25" hidden="1" customHeight="1">
      <c r="O26" s="1243"/>
      <c r="BD26" s="424"/>
      <c r="BE26" s="424"/>
      <c r="BF26" s="424"/>
      <c r="BG26" s="424"/>
      <c r="BH26" s="424"/>
    </row>
    <row r="27" spans="1:60" ht="14.25" customHeight="1">
      <c r="Q27" s="209"/>
      <c r="R27" s="304"/>
      <c r="S27" s="1156"/>
      <c r="T27" s="289"/>
      <c r="U27" s="289"/>
      <c r="V27" s="437"/>
      <c r="W27" s="437"/>
      <c r="X27" s="437"/>
      <c r="Y27" s="437"/>
      <c r="Z27" s="437"/>
      <c r="AA27" s="437"/>
      <c r="AB27" s="437"/>
      <c r="AC27" s="437"/>
      <c r="AD27" s="437"/>
      <c r="AE27" s="437"/>
      <c r="AF27" s="437"/>
      <c r="AG27" s="437"/>
      <c r="AH27" s="437"/>
      <c r="AI27" s="437"/>
      <c r="AJ27" s="437"/>
      <c r="AK27" s="437"/>
      <c r="AL27" s="437"/>
      <c r="AM27" s="437"/>
      <c r="AN27" s="437"/>
      <c r="AO27" s="437"/>
      <c r="AP27" s="437"/>
      <c r="AQ27" s="437"/>
      <c r="AR27" s="437"/>
      <c r="AS27" s="437"/>
      <c r="AT27" s="437"/>
      <c r="AU27" s="437"/>
      <c r="AV27" s="437"/>
      <c r="AW27" s="437"/>
      <c r="AX27" s="437"/>
      <c r="AY27" s="437"/>
      <c r="AZ27" s="437"/>
      <c r="BA27" s="437"/>
    </row>
    <row r="28" spans="1:60" ht="33.75" customHeight="1">
      <c r="Q28" s="209"/>
      <c r="R28" s="304"/>
      <c r="S28" s="2065" t="str">
        <f>IF(TEMPLATE_GROUP="P",PT_P_FORM_VOTV_5_NAME_FORM,PT_R_FORM_VOTV_17_NAME_FORM)</f>
        <v>Форма 17. Информация о предложении расчетной величины тарифов на подключение к централизованной системе водоотведения &lt;1&gt;</v>
      </c>
      <c r="T28" s="2065"/>
      <c r="U28" s="2065"/>
      <c r="V28" s="2065"/>
      <c r="W28" s="2065"/>
      <c r="X28" s="2065"/>
      <c r="Y28" s="2065"/>
      <c r="Z28" s="2065"/>
      <c r="AA28" s="2065"/>
      <c r="AB28" s="2065"/>
      <c r="AC28" s="2065"/>
      <c r="AD28" s="2065"/>
      <c r="AE28" s="2065"/>
      <c r="AF28" s="2065"/>
      <c r="AG28" s="2065"/>
      <c r="AH28" s="2065"/>
      <c r="AI28" s="2065"/>
      <c r="AJ28" s="2065"/>
      <c r="AK28" s="2065"/>
      <c r="AL28" s="2065"/>
      <c r="AM28" s="2065"/>
      <c r="AN28" s="2065"/>
      <c r="AO28" s="2065"/>
      <c r="AP28" s="2065"/>
      <c r="AQ28" s="2065"/>
      <c r="AR28" s="2065"/>
      <c r="AS28" s="2065"/>
      <c r="AT28" s="2065"/>
      <c r="AU28" s="2065"/>
      <c r="AV28" s="2065"/>
      <c r="AW28" s="2065"/>
      <c r="AX28" s="2065"/>
      <c r="AY28" s="2065"/>
      <c r="AZ28" s="2065"/>
      <c r="BA28" s="1114"/>
    </row>
    <row r="29" spans="1:60" ht="14.25" customHeight="1">
      <c r="Q29" s="209"/>
      <c r="R29" s="304"/>
      <c r="S29" s="2088" t="str">
        <f>IF(org=0,"Не определено",org)</f>
        <v>МУП г. Астрахани "Коммунэнерго"</v>
      </c>
      <c r="T29" s="2088"/>
      <c r="U29" s="2088"/>
      <c r="V29" s="2088"/>
      <c r="W29" s="2088"/>
      <c r="X29" s="2088"/>
      <c r="Y29" s="2088"/>
      <c r="Z29" s="2088"/>
      <c r="AA29" s="2088"/>
      <c r="AB29" s="2088"/>
      <c r="AC29" s="2088"/>
      <c r="AD29" s="2088"/>
      <c r="AE29" s="2088"/>
      <c r="AF29" s="2088"/>
      <c r="AG29" s="2088"/>
      <c r="AH29" s="2088"/>
      <c r="AI29" s="2088"/>
      <c r="AJ29" s="2088"/>
      <c r="AK29" s="2088"/>
      <c r="AL29" s="2088"/>
      <c r="AM29" s="2088"/>
      <c r="AN29" s="2088"/>
      <c r="AO29" s="2088"/>
      <c r="AP29" s="2088"/>
      <c r="AQ29" s="2088"/>
      <c r="AR29" s="2088"/>
      <c r="AS29" s="2088"/>
      <c r="AT29" s="2088"/>
      <c r="AU29" s="2088"/>
      <c r="AV29" s="2088"/>
      <c r="AW29" s="2088"/>
      <c r="AX29" s="2088"/>
      <c r="AY29" s="2088"/>
      <c r="AZ29" s="2088"/>
      <c r="BA29" s="1114"/>
    </row>
    <row r="30" spans="1:60" ht="14.25" hidden="1" customHeight="1">
      <c r="Q30" s="209"/>
      <c r="R30" s="304"/>
      <c r="S30" s="1156"/>
      <c r="T30" s="289"/>
      <c r="U30" s="289"/>
      <c r="V30" s="248"/>
      <c r="W30" s="248"/>
      <c r="X30" s="248"/>
      <c r="Y30" s="248"/>
      <c r="Z30" s="248"/>
      <c r="AA30" s="248"/>
      <c r="AB30" s="248"/>
      <c r="AC30" s="248"/>
      <c r="AD30" s="248"/>
      <c r="AE30" s="248"/>
      <c r="AF30" s="248"/>
      <c r="AG30" s="248"/>
      <c r="AH30" s="248"/>
      <c r="AI30" s="248"/>
      <c r="AJ30" s="248"/>
      <c r="AK30" s="248"/>
      <c r="AL30" s="248"/>
      <c r="AM30" s="248"/>
      <c r="AN30" s="248"/>
      <c r="AO30" s="248"/>
      <c r="AP30" s="248"/>
      <c r="AQ30" s="248"/>
      <c r="AR30" s="248"/>
      <c r="AS30" s="248"/>
      <c r="AT30" s="248"/>
      <c r="AU30" s="248"/>
      <c r="AV30" s="248"/>
      <c r="AW30" s="248"/>
      <c r="AX30" s="248"/>
      <c r="AY30" s="248"/>
      <c r="AZ30" s="248"/>
      <c r="BA30" s="248"/>
      <c r="BB30" s="437"/>
    </row>
    <row r="31" spans="1:60" s="1933" customFormat="1" ht="25.5" hidden="1" customHeight="1">
      <c r="A31" s="1247"/>
      <c r="B31" s="1247"/>
      <c r="C31" s="1247"/>
      <c r="D31" s="1247"/>
      <c r="E31" s="1247"/>
      <c r="F31" s="1247"/>
      <c r="G31" s="1247"/>
      <c r="H31" s="1247"/>
      <c r="I31" s="1247"/>
      <c r="J31" s="1247"/>
      <c r="K31" s="1247"/>
      <c r="L31" s="1248"/>
      <c r="M31" s="1247"/>
      <c r="N31" s="1247"/>
      <c r="O31" s="1247"/>
      <c r="P31" s="1247"/>
      <c r="Q31" s="1247"/>
      <c r="S31" s="2213" t="s">
        <v>38</v>
      </c>
      <c r="T31" s="2213"/>
      <c r="U31" s="1251"/>
      <c r="V31" s="2214"/>
      <c r="W31" s="2214"/>
      <c r="X31" s="2214"/>
      <c r="Y31" s="2214"/>
      <c r="Z31" s="2214"/>
      <c r="AA31" s="2214"/>
      <c r="AB31" s="2214"/>
      <c r="AC31" s="253"/>
      <c r="AD31" s="2214" t="str">
        <f>IF(TITLE_NAME_OR_PR_CHANGE="",IF(TITLE_NAME_OR_PR="","",TITLE_NAME_OR_PR),TITLE_NAME_OR_PR_CHANGE)</f>
        <v/>
      </c>
      <c r="AE31" s="2214"/>
      <c r="AF31" s="2214"/>
      <c r="AG31" s="2214"/>
      <c r="AH31" s="2214"/>
      <c r="AI31" s="2214"/>
      <c r="AJ31" s="2214"/>
      <c r="AK31" s="2214"/>
      <c r="AL31" s="2214"/>
      <c r="AM31" s="2214"/>
      <c r="AN31" s="2214"/>
      <c r="AO31" s="2214"/>
      <c r="AP31" s="2214"/>
      <c r="AQ31" s="2214"/>
      <c r="AR31" s="2214"/>
      <c r="AS31" s="2214"/>
      <c r="AT31" s="2214"/>
      <c r="AU31" s="2214"/>
      <c r="AV31" s="2214"/>
      <c r="AW31" s="2214"/>
      <c r="AX31" s="2214"/>
      <c r="AY31" s="2214"/>
      <c r="AZ31" s="2214"/>
      <c r="BA31" s="253"/>
      <c r="BB31" s="253"/>
      <c r="BC31" s="199"/>
      <c r="BD31" s="295"/>
      <c r="BE31" s="295"/>
      <c r="BF31" s="295"/>
      <c r="BG31" s="295"/>
      <c r="BH31" s="295"/>
    </row>
    <row r="32" spans="1:60" s="1933" customFormat="1" ht="18.75" hidden="1" customHeight="1">
      <c r="A32" s="1247"/>
      <c r="B32" s="1247"/>
      <c r="C32" s="1247"/>
      <c r="D32" s="1247"/>
      <c r="E32" s="1247"/>
      <c r="F32" s="1247"/>
      <c r="G32" s="1247"/>
      <c r="H32" s="1247"/>
      <c r="I32" s="1247"/>
      <c r="J32" s="1247"/>
      <c r="K32" s="1247"/>
      <c r="L32" s="1248"/>
      <c r="M32" s="1247"/>
      <c r="N32" s="1247"/>
      <c r="O32" s="1247"/>
      <c r="P32" s="1247"/>
      <c r="Q32" s="1247"/>
      <c r="S32" s="2213" t="s">
        <v>1486</v>
      </c>
      <c r="T32" s="2213"/>
      <c r="U32" s="1251"/>
      <c r="V32" s="2214"/>
      <c r="W32" s="2214"/>
      <c r="X32" s="2214"/>
      <c r="Y32" s="2214"/>
      <c r="Z32" s="2214"/>
      <c r="AA32" s="2214"/>
      <c r="AB32" s="2214"/>
      <c r="AC32" s="253"/>
      <c r="AD32" s="2214" t="str">
        <f>IF(TITLE_DATE_CHANGE_PERIOD="",IF(TITLE_DATE_PR="","",TITLE_DATE_PR),TITLE_DATE_CHANGE_PERIOD)</f>
        <v/>
      </c>
      <c r="AE32" s="2214"/>
      <c r="AF32" s="2214"/>
      <c r="AG32" s="2214"/>
      <c r="AH32" s="2214"/>
      <c r="AI32" s="2214"/>
      <c r="AJ32" s="2214"/>
      <c r="AK32" s="2214"/>
      <c r="AL32" s="2214"/>
      <c r="AM32" s="2214"/>
      <c r="AN32" s="2214"/>
      <c r="AO32" s="2214"/>
      <c r="AP32" s="2214"/>
      <c r="AQ32" s="2214"/>
      <c r="AR32" s="2214"/>
      <c r="AS32" s="2214"/>
      <c r="AT32" s="2214"/>
      <c r="AU32" s="2214"/>
      <c r="AV32" s="2214"/>
      <c r="AW32" s="2214"/>
      <c r="AX32" s="2214"/>
      <c r="AY32" s="2214"/>
      <c r="AZ32" s="2214"/>
      <c r="BA32" s="253"/>
      <c r="BB32" s="253"/>
      <c r="BC32" s="199"/>
      <c r="BD32" s="295"/>
      <c r="BE32" s="295"/>
      <c r="BF32" s="295"/>
      <c r="BG32" s="295"/>
      <c r="BH32" s="295"/>
    </row>
    <row r="33" spans="1:60" s="1933" customFormat="1" ht="18.75" hidden="1" customHeight="1">
      <c r="A33" s="1247"/>
      <c r="B33" s="1247"/>
      <c r="C33" s="1247"/>
      <c r="D33" s="1247"/>
      <c r="E33" s="1247"/>
      <c r="F33" s="1247"/>
      <c r="G33" s="1247"/>
      <c r="H33" s="1247"/>
      <c r="I33" s="1247"/>
      <c r="J33" s="1247"/>
      <c r="K33" s="1247"/>
      <c r="L33" s="1248"/>
      <c r="M33" s="1247"/>
      <c r="N33" s="1247"/>
      <c r="O33" s="1247"/>
      <c r="P33" s="1247"/>
      <c r="Q33" s="1247"/>
      <c r="S33" s="2213" t="s">
        <v>1487</v>
      </c>
      <c r="T33" s="2213"/>
      <c r="U33" s="1251"/>
      <c r="V33" s="2214"/>
      <c r="W33" s="2214"/>
      <c r="X33" s="2214"/>
      <c r="Y33" s="2214"/>
      <c r="Z33" s="2214"/>
      <c r="AA33" s="2214"/>
      <c r="AB33" s="2214"/>
      <c r="AC33" s="253"/>
      <c r="AD33" s="2214" t="str">
        <f>IF(TITLE_NUMBER_PR_CHANGE="",IF(TITLE_NUMBER_PR="","",TITLE_NUMBER_PR),TITLE_NUMBER_PR_CHANGE)</f>
        <v/>
      </c>
      <c r="AE33" s="2214"/>
      <c r="AF33" s="2214"/>
      <c r="AG33" s="2214"/>
      <c r="AH33" s="2214"/>
      <c r="AI33" s="2214"/>
      <c r="AJ33" s="2214"/>
      <c r="AK33" s="2214"/>
      <c r="AL33" s="2214"/>
      <c r="AM33" s="2214"/>
      <c r="AN33" s="2214"/>
      <c r="AO33" s="2214"/>
      <c r="AP33" s="2214"/>
      <c r="AQ33" s="2214"/>
      <c r="AR33" s="2214"/>
      <c r="AS33" s="2214"/>
      <c r="AT33" s="2214"/>
      <c r="AU33" s="2214"/>
      <c r="AV33" s="2214"/>
      <c r="AW33" s="2214"/>
      <c r="AX33" s="2214"/>
      <c r="AY33" s="2214"/>
      <c r="AZ33" s="2214"/>
      <c r="BA33" s="253"/>
      <c r="BB33" s="253"/>
      <c r="BC33" s="199"/>
      <c r="BD33" s="295"/>
      <c r="BE33" s="295"/>
      <c r="BF33" s="295"/>
      <c r="BG33" s="295"/>
      <c r="BH33" s="295"/>
    </row>
    <row r="34" spans="1:60" s="1933" customFormat="1" ht="18.75" hidden="1" customHeight="1">
      <c r="A34" s="1247"/>
      <c r="B34" s="1247"/>
      <c r="C34" s="1247"/>
      <c r="D34" s="1247"/>
      <c r="E34" s="1247"/>
      <c r="F34" s="1247"/>
      <c r="G34" s="1247"/>
      <c r="H34" s="1247"/>
      <c r="I34" s="1247"/>
      <c r="J34" s="1247"/>
      <c r="K34" s="1247"/>
      <c r="L34" s="1248"/>
      <c r="M34" s="1247"/>
      <c r="N34" s="1247"/>
      <c r="O34" s="1247"/>
      <c r="P34" s="1247"/>
      <c r="Q34" s="1247"/>
      <c r="S34" s="2213" t="s">
        <v>39</v>
      </c>
      <c r="T34" s="2213"/>
      <c r="U34" s="1251"/>
      <c r="V34" s="2214"/>
      <c r="W34" s="2214"/>
      <c r="X34" s="2214"/>
      <c r="Y34" s="2214"/>
      <c r="Z34" s="2214"/>
      <c r="AA34" s="2214"/>
      <c r="AB34" s="2214"/>
      <c r="AC34" s="253"/>
      <c r="AD34" s="2214" t="str">
        <f>IF(TITLE_IST_PUB_CHANGE="",IF(TITLE_IST_PUB="","",TITLE_IST_PUB),TITLE_IST_PUB_CHANGE)</f>
        <v/>
      </c>
      <c r="AE34" s="2214"/>
      <c r="AF34" s="2214"/>
      <c r="AG34" s="2214"/>
      <c r="AH34" s="2214"/>
      <c r="AI34" s="2214"/>
      <c r="AJ34" s="2214"/>
      <c r="AK34" s="2214"/>
      <c r="AL34" s="2214"/>
      <c r="AM34" s="2214"/>
      <c r="AN34" s="2214"/>
      <c r="AO34" s="2214"/>
      <c r="AP34" s="2214"/>
      <c r="AQ34" s="2214"/>
      <c r="AR34" s="2214"/>
      <c r="AS34" s="2214"/>
      <c r="AT34" s="2214"/>
      <c r="AU34" s="2214"/>
      <c r="AV34" s="2214"/>
      <c r="AW34" s="2214"/>
      <c r="AX34" s="2214"/>
      <c r="AY34" s="2214"/>
      <c r="AZ34" s="2214"/>
      <c r="BA34" s="253"/>
      <c r="BB34" s="253"/>
      <c r="BC34" s="199"/>
      <c r="BD34" s="295"/>
      <c r="BE34" s="295"/>
      <c r="BF34" s="295"/>
      <c r="BG34" s="295"/>
      <c r="BH34" s="295"/>
    </row>
    <row r="35" spans="1:60" ht="14.25" hidden="1" customHeight="1">
      <c r="Q35" s="209"/>
      <c r="R35" s="304"/>
      <c r="S35" s="1156"/>
      <c r="T35" s="289"/>
      <c r="U35" s="289"/>
      <c r="V35" s="248"/>
      <c r="W35" s="248"/>
      <c r="X35" s="248"/>
      <c r="Y35" s="248"/>
      <c r="Z35" s="248"/>
      <c r="AA35" s="248"/>
      <c r="AB35" s="248"/>
      <c r="AC35" s="248"/>
      <c r="AD35" s="248"/>
      <c r="AE35" s="248"/>
      <c r="AF35" s="248"/>
      <c r="AG35" s="248"/>
      <c r="AH35" s="248"/>
      <c r="AI35" s="248"/>
      <c r="AJ35" s="248"/>
      <c r="AK35" s="248"/>
      <c r="AL35" s="248"/>
      <c r="AM35" s="248"/>
      <c r="AN35" s="248"/>
      <c r="AO35" s="248"/>
      <c r="AP35" s="248"/>
      <c r="AQ35" s="248"/>
      <c r="AR35" s="248"/>
      <c r="AS35" s="248"/>
      <c r="AT35" s="248"/>
      <c r="AU35" s="248"/>
      <c r="AV35" s="248"/>
      <c r="AW35" s="248"/>
      <c r="AX35" s="248"/>
      <c r="AY35" s="248"/>
      <c r="AZ35" s="248"/>
      <c r="BA35" s="248"/>
      <c r="BB35" s="437"/>
    </row>
    <row r="36" spans="1:60" s="1933" customFormat="1" ht="18.75" hidden="1" customHeight="1">
      <c r="A36" s="1247"/>
      <c r="B36" s="1247"/>
      <c r="C36" s="1247"/>
      <c r="D36" s="1247"/>
      <c r="E36" s="1247"/>
      <c r="F36" s="1247"/>
      <c r="G36" s="1247"/>
      <c r="H36" s="1247"/>
      <c r="I36" s="1247"/>
      <c r="J36" s="1247"/>
      <c r="K36" s="1247"/>
      <c r="L36" s="1248"/>
      <c r="M36" s="1247"/>
      <c r="N36" s="1247"/>
      <c r="O36" s="1247"/>
      <c r="P36" s="1247"/>
      <c r="Q36" s="1247"/>
      <c r="S36" s="2213" t="s">
        <v>1486</v>
      </c>
      <c r="T36" s="2213"/>
      <c r="U36" s="1251"/>
      <c r="V36" s="2214"/>
      <c r="W36" s="2214"/>
      <c r="X36" s="2214"/>
      <c r="Y36" s="2214"/>
      <c r="Z36" s="2214"/>
      <c r="AA36" s="2214"/>
      <c r="AB36" s="2214"/>
      <c r="AC36" s="253"/>
      <c r="AD36" s="2214" t="str">
        <f>IF(TITLE_DATE_CHANGE_PERIOD="",IF(TITLE_DATE_PR="","",TITLE_DATE_PR),TITLE_DATE_CHANGE_PERIOD)</f>
        <v/>
      </c>
      <c r="AE36" s="2214"/>
      <c r="AF36" s="2214"/>
      <c r="AG36" s="2214"/>
      <c r="AH36" s="2214"/>
      <c r="AI36" s="2214"/>
      <c r="AJ36" s="2214"/>
      <c r="AK36" s="2214"/>
      <c r="AL36" s="2214"/>
      <c r="AM36" s="2214"/>
      <c r="AN36" s="2214"/>
      <c r="AO36" s="2214"/>
      <c r="AP36" s="2214"/>
      <c r="AQ36" s="2214"/>
      <c r="AR36" s="2214"/>
      <c r="AS36" s="2214"/>
      <c r="AT36" s="2214"/>
      <c r="AU36" s="2214"/>
      <c r="AV36" s="2214"/>
      <c r="AW36" s="2214"/>
      <c r="AX36" s="2214"/>
      <c r="AY36" s="2214"/>
      <c r="AZ36" s="2214"/>
      <c r="BA36" s="253"/>
      <c r="BB36" s="253"/>
      <c r="BC36" s="199"/>
      <c r="BD36" s="295"/>
      <c r="BE36" s="295"/>
      <c r="BF36" s="295"/>
      <c r="BG36" s="295"/>
      <c r="BH36" s="295"/>
    </row>
    <row r="37" spans="1:60" s="1933" customFormat="1" ht="18.75" hidden="1" customHeight="1">
      <c r="A37" s="1247"/>
      <c r="B37" s="1247"/>
      <c r="C37" s="1247"/>
      <c r="D37" s="1247"/>
      <c r="E37" s="1247"/>
      <c r="F37" s="1247"/>
      <c r="G37" s="1247"/>
      <c r="H37" s="1247"/>
      <c r="I37" s="1247"/>
      <c r="J37" s="1247"/>
      <c r="K37" s="1247"/>
      <c r="L37" s="1248"/>
      <c r="M37" s="1247"/>
      <c r="N37" s="1247"/>
      <c r="O37" s="1247"/>
      <c r="P37" s="1247"/>
      <c r="Q37" s="1247"/>
      <c r="S37" s="2213" t="s">
        <v>1487</v>
      </c>
      <c r="T37" s="2213"/>
      <c r="U37" s="1251"/>
      <c r="V37" s="2214"/>
      <c r="W37" s="2214"/>
      <c r="X37" s="2214"/>
      <c r="Y37" s="2214"/>
      <c r="Z37" s="2214"/>
      <c r="AA37" s="2214"/>
      <c r="AB37" s="2214"/>
      <c r="AC37" s="253"/>
      <c r="AD37" s="2214" t="str">
        <f>IF(TITLE_NUMBER_PR_CHANGE="",IF(TITLE_NUMBER_PR="","",TITLE_NUMBER_PR),TITLE_NUMBER_PR_CHANGE)</f>
        <v/>
      </c>
      <c r="AE37" s="2214"/>
      <c r="AF37" s="2214"/>
      <c r="AG37" s="2214"/>
      <c r="AH37" s="2214"/>
      <c r="AI37" s="2214"/>
      <c r="AJ37" s="2214"/>
      <c r="AK37" s="2214"/>
      <c r="AL37" s="2214"/>
      <c r="AM37" s="2214"/>
      <c r="AN37" s="2214"/>
      <c r="AO37" s="2214"/>
      <c r="AP37" s="2214"/>
      <c r="AQ37" s="2214"/>
      <c r="AR37" s="2214"/>
      <c r="AS37" s="2214"/>
      <c r="AT37" s="2214"/>
      <c r="AU37" s="2214"/>
      <c r="AV37" s="2214"/>
      <c r="AW37" s="2214"/>
      <c r="AX37" s="2214"/>
      <c r="AY37" s="2214"/>
      <c r="AZ37" s="2214"/>
      <c r="BA37" s="253"/>
      <c r="BB37" s="253"/>
      <c r="BC37" s="199"/>
      <c r="BD37" s="295"/>
      <c r="BE37" s="295"/>
      <c r="BF37" s="295"/>
      <c r="BG37" s="295"/>
      <c r="BH37" s="295"/>
    </row>
    <row r="38" spans="1:60" s="1933" customFormat="1" ht="0" hidden="1" customHeight="1">
      <c r="A38" s="1247"/>
      <c r="B38" s="1247"/>
      <c r="C38" s="1247"/>
      <c r="D38" s="1247"/>
      <c r="E38" s="1247"/>
      <c r="F38" s="1247"/>
      <c r="G38" s="1247"/>
      <c r="H38" s="1247"/>
      <c r="I38" s="1247"/>
      <c r="J38" s="1247"/>
      <c r="K38" s="1247"/>
      <c r="L38" s="1248"/>
      <c r="M38" s="1247"/>
      <c r="N38" s="1247"/>
      <c r="O38" s="1247"/>
      <c r="P38" s="1247"/>
      <c r="Q38" s="1247"/>
      <c r="S38" s="250"/>
      <c r="T38" s="250"/>
      <c r="U38" s="1348"/>
      <c r="V38" s="253"/>
      <c r="W38" s="253"/>
      <c r="X38" s="253"/>
      <c r="Y38" s="253"/>
      <c r="Z38" s="253"/>
      <c r="AA38" s="253"/>
      <c r="AB38" s="253"/>
      <c r="AC38" s="197" t="s">
        <v>1490</v>
      </c>
      <c r="AD38" s="253"/>
      <c r="AE38" s="253"/>
      <c r="AF38" s="253"/>
      <c r="AG38" s="253"/>
      <c r="AH38" s="253"/>
      <c r="AI38" s="253"/>
      <c r="AJ38" s="253"/>
      <c r="AK38" s="253"/>
      <c r="AL38" s="253"/>
      <c r="AM38" s="253"/>
      <c r="AN38" s="253"/>
      <c r="AO38" s="253"/>
      <c r="AP38" s="253"/>
      <c r="AQ38" s="253"/>
      <c r="AR38" s="253"/>
      <c r="AS38" s="253"/>
      <c r="AT38" s="253"/>
      <c r="AU38" s="253"/>
      <c r="AV38" s="253"/>
      <c r="AW38" s="253"/>
      <c r="AX38" s="253"/>
      <c r="AY38" s="253"/>
      <c r="AZ38" s="253"/>
      <c r="BA38" s="197" t="s">
        <v>1490</v>
      </c>
      <c r="BD38" s="295"/>
      <c r="BE38" s="295"/>
      <c r="BF38" s="295"/>
      <c r="BG38" s="295"/>
      <c r="BH38" s="295"/>
    </row>
    <row r="39" spans="1:60" ht="14.25" customHeight="1">
      <c r="Q39" s="209"/>
      <c r="R39" s="304"/>
      <c r="S39" s="1156"/>
      <c r="T39" s="289"/>
      <c r="U39" s="1115"/>
      <c r="V39" s="2232"/>
      <c r="W39" s="2232"/>
      <c r="X39" s="2232"/>
      <c r="Y39" s="2232"/>
      <c r="Z39" s="2232"/>
      <c r="AA39" s="2232"/>
      <c r="AB39" s="2232"/>
      <c r="AC39" s="2232"/>
      <c r="AD39" s="2232"/>
      <c r="AE39" s="2232"/>
      <c r="AF39" s="2232"/>
      <c r="AG39" s="2232"/>
      <c r="AH39" s="2232"/>
      <c r="AI39" s="2232"/>
      <c r="AJ39" s="2232"/>
      <c r="AK39" s="2232"/>
      <c r="AL39" s="2232"/>
      <c r="AM39" s="2232"/>
      <c r="AN39" s="2232"/>
      <c r="AO39" s="2232"/>
      <c r="AP39" s="2232"/>
      <c r="AQ39" s="2232"/>
      <c r="AR39" s="2232"/>
      <c r="AS39" s="2232"/>
      <c r="AT39" s="2232"/>
      <c r="AU39" s="2232"/>
      <c r="AV39" s="2232"/>
      <c r="AW39" s="2232"/>
      <c r="AX39" s="2232"/>
      <c r="AY39" s="2232"/>
      <c r="AZ39" s="2232"/>
      <c r="BA39" s="2232"/>
    </row>
    <row r="40" spans="1:60" ht="14.25" customHeight="1">
      <c r="Q40" s="209"/>
      <c r="R40" s="304"/>
      <c r="S40" s="2007" t="s">
        <v>292</v>
      </c>
      <c r="T40" s="2007"/>
      <c r="U40" s="2007"/>
      <c r="V40" s="2007"/>
      <c r="W40" s="2007"/>
      <c r="X40" s="2007"/>
      <c r="Y40" s="2007"/>
      <c r="Z40" s="2007"/>
      <c r="AA40" s="2007"/>
      <c r="AB40" s="2007"/>
      <c r="AC40" s="2007"/>
      <c r="AD40" s="2007"/>
      <c r="AE40" s="2007"/>
      <c r="AF40" s="2007"/>
      <c r="AG40" s="2007"/>
      <c r="AH40" s="2007"/>
      <c r="AI40" s="2007"/>
      <c r="AJ40" s="2007"/>
      <c r="AK40" s="2007"/>
      <c r="AL40" s="2007"/>
      <c r="AM40" s="2007"/>
      <c r="AN40" s="2007"/>
      <c r="AO40" s="2007"/>
      <c r="AP40" s="2007"/>
      <c r="AQ40" s="2007"/>
      <c r="AR40" s="2007"/>
      <c r="AS40" s="2007"/>
      <c r="AT40" s="2007"/>
      <c r="AU40" s="2007"/>
      <c r="AV40" s="2007"/>
      <c r="AW40" s="2007"/>
      <c r="AX40" s="2007"/>
      <c r="AY40" s="2007"/>
      <c r="AZ40" s="2007"/>
      <c r="BA40" s="2007"/>
      <c r="BB40" s="2007"/>
      <c r="BC40" s="2007" t="s">
        <v>293</v>
      </c>
    </row>
    <row r="41" spans="1:60" ht="14.25" customHeight="1">
      <c r="Q41" s="209"/>
      <c r="R41" s="304"/>
      <c r="S41" s="2233" t="s">
        <v>87</v>
      </c>
      <c r="T41" s="2097" t="s">
        <v>1704</v>
      </c>
      <c r="U41" s="219"/>
      <c r="V41" s="2234" t="s">
        <v>1492</v>
      </c>
      <c r="W41" s="2235"/>
      <c r="X41" s="2235"/>
      <c r="Y41" s="2235"/>
      <c r="Z41" s="2235"/>
      <c r="AA41" s="2235"/>
      <c r="AB41" s="2236"/>
      <c r="AC41" s="2237" t="s">
        <v>1493</v>
      </c>
      <c r="AD41" s="2259" t="s">
        <v>2110</v>
      </c>
      <c r="AE41" s="2248"/>
      <c r="AF41" s="2248"/>
      <c r="AG41" s="2260"/>
      <c r="AH41" s="2259" t="s">
        <v>2111</v>
      </c>
      <c r="AI41" s="2248"/>
      <c r="AJ41" s="2248"/>
      <c r="AK41" s="2260"/>
      <c r="AL41" s="2259" t="s">
        <v>2112</v>
      </c>
      <c r="AM41" s="2248"/>
      <c r="AN41" s="2248"/>
      <c r="AO41" s="2260"/>
      <c r="AP41" s="2259" t="s">
        <v>1708</v>
      </c>
      <c r="AQ41" s="2248"/>
      <c r="AR41" s="2248"/>
      <c r="AS41" s="2260"/>
      <c r="AT41" s="2234" t="s">
        <v>1492</v>
      </c>
      <c r="AU41" s="2235"/>
      <c r="AV41" s="2235"/>
      <c r="AW41" s="2235"/>
      <c r="AX41" s="2235"/>
      <c r="AY41" s="2235"/>
      <c r="AZ41" s="2236"/>
      <c r="BA41" s="2237" t="s">
        <v>1493</v>
      </c>
      <c r="BB41" s="2240" t="s">
        <v>1495</v>
      </c>
      <c r="BC41" s="2007"/>
    </row>
    <row r="42" spans="1:60" ht="33.75" customHeight="1">
      <c r="Q42" s="209"/>
      <c r="R42" s="304"/>
      <c r="S42" s="2233"/>
      <c r="T42" s="2097"/>
      <c r="U42" s="924"/>
      <c r="V42" s="2067" t="s">
        <v>1709</v>
      </c>
      <c r="W42" s="2068"/>
      <c r="X42" s="2067" t="s">
        <v>1710</v>
      </c>
      <c r="Y42" s="2068"/>
      <c r="Z42" s="2067" t="s">
        <v>1711</v>
      </c>
      <c r="AA42" s="2253"/>
      <c r="AB42" s="2068"/>
      <c r="AC42" s="2238"/>
      <c r="AD42" s="2261"/>
      <c r="AE42" s="2262"/>
      <c r="AF42" s="2262"/>
      <c r="AG42" s="2263"/>
      <c r="AH42" s="2261"/>
      <c r="AI42" s="2262"/>
      <c r="AJ42" s="2262"/>
      <c r="AK42" s="2263"/>
      <c r="AL42" s="2261"/>
      <c r="AM42" s="2262"/>
      <c r="AN42" s="2262"/>
      <c r="AO42" s="2263"/>
      <c r="AP42" s="2261"/>
      <c r="AQ42" s="2262"/>
      <c r="AR42" s="2262"/>
      <c r="AS42" s="2263"/>
      <c r="AT42" s="2067" t="s">
        <v>2113</v>
      </c>
      <c r="AU42" s="2068"/>
      <c r="AV42" s="2067" t="s">
        <v>2114</v>
      </c>
      <c r="AW42" s="2068"/>
      <c r="AX42" s="2067" t="s">
        <v>1711</v>
      </c>
      <c r="AY42" s="2253"/>
      <c r="AZ42" s="2068"/>
      <c r="BA42" s="2238"/>
      <c r="BB42" s="2241"/>
      <c r="BC42" s="2007"/>
    </row>
    <row r="43" spans="1:60" ht="14.25" customHeight="1">
      <c r="Q43" s="209"/>
      <c r="R43" s="304"/>
      <c r="S43" s="2233"/>
      <c r="T43" s="2097"/>
      <c r="U43" s="924"/>
      <c r="V43" s="2072"/>
      <c r="W43" s="2073"/>
      <c r="X43" s="2072"/>
      <c r="Y43" s="2073"/>
      <c r="Z43" s="2072"/>
      <c r="AA43" s="2254"/>
      <c r="AB43" s="2073"/>
      <c r="AC43" s="2238"/>
      <c r="AD43" s="2261"/>
      <c r="AE43" s="2262"/>
      <c r="AF43" s="2262"/>
      <c r="AG43" s="2263"/>
      <c r="AH43" s="2261"/>
      <c r="AI43" s="2262"/>
      <c r="AJ43" s="2262"/>
      <c r="AK43" s="2263"/>
      <c r="AL43" s="2261"/>
      <c r="AM43" s="2262"/>
      <c r="AN43" s="2262"/>
      <c r="AO43" s="2263"/>
      <c r="AP43" s="2261"/>
      <c r="AQ43" s="2262"/>
      <c r="AR43" s="2262"/>
      <c r="AS43" s="2263"/>
      <c r="AT43" s="2072"/>
      <c r="AU43" s="2073"/>
      <c r="AV43" s="2072"/>
      <c r="AW43" s="2073"/>
      <c r="AX43" s="2072"/>
      <c r="AY43" s="2254"/>
      <c r="AZ43" s="2073"/>
      <c r="BA43" s="2238"/>
      <c r="BB43" s="2241"/>
      <c r="BC43" s="2007"/>
    </row>
    <row r="44" spans="1:60" ht="14.25" customHeight="1">
      <c r="A44" s="1249"/>
      <c r="B44" s="1249" t="s">
        <v>136</v>
      </c>
      <c r="C44" s="1249" t="s">
        <v>137</v>
      </c>
      <c r="D44" s="1249" t="s">
        <v>138</v>
      </c>
      <c r="E44" s="1243" t="s">
        <v>1500</v>
      </c>
      <c r="F44" s="1243" t="s">
        <v>1501</v>
      </c>
      <c r="G44" s="1243" t="s">
        <v>1502</v>
      </c>
      <c r="H44" s="1243" t="s">
        <v>1503</v>
      </c>
      <c r="I44" s="1243" t="s">
        <v>1504</v>
      </c>
      <c r="J44" s="1243" t="s">
        <v>1505</v>
      </c>
      <c r="K44" s="1243" t="s">
        <v>1506</v>
      </c>
      <c r="L44" s="1243" t="s">
        <v>1481</v>
      </c>
      <c r="Q44" s="209"/>
      <c r="R44" s="304"/>
      <c r="S44" s="2233"/>
      <c r="T44" s="2097"/>
      <c r="U44" s="220"/>
      <c r="V44" s="1339" t="s">
        <v>1552</v>
      </c>
      <c r="W44" s="1339" t="s">
        <v>1553</v>
      </c>
      <c r="X44" s="1339" t="s">
        <v>1552</v>
      </c>
      <c r="Y44" s="1339" t="s">
        <v>1553</v>
      </c>
      <c r="Z44" s="1349" t="s">
        <v>1509</v>
      </c>
      <c r="AA44" s="2103" t="s">
        <v>1510</v>
      </c>
      <c r="AB44" s="2117"/>
      <c r="AC44" s="2239"/>
      <c r="AD44" s="2264"/>
      <c r="AE44" s="2265"/>
      <c r="AF44" s="2265"/>
      <c r="AG44" s="2266"/>
      <c r="AH44" s="2264"/>
      <c r="AI44" s="2265"/>
      <c r="AJ44" s="2265"/>
      <c r="AK44" s="2266"/>
      <c r="AL44" s="2264"/>
      <c r="AM44" s="2265"/>
      <c r="AN44" s="2265"/>
      <c r="AO44" s="2266"/>
      <c r="AP44" s="2264"/>
      <c r="AQ44" s="2265"/>
      <c r="AR44" s="2265"/>
      <c r="AS44" s="2266"/>
      <c r="AT44" s="1339" t="s">
        <v>1552</v>
      </c>
      <c r="AU44" s="1339" t="s">
        <v>1553</v>
      </c>
      <c r="AV44" s="1339" t="s">
        <v>1552</v>
      </c>
      <c r="AW44" s="1339" t="s">
        <v>1553</v>
      </c>
      <c r="AX44" s="1349" t="s">
        <v>1509</v>
      </c>
      <c r="AY44" s="2103" t="s">
        <v>1510</v>
      </c>
      <c r="AZ44" s="2117"/>
      <c r="BA44" s="2239"/>
      <c r="BB44" s="2242"/>
      <c r="BC44" s="2007"/>
    </row>
    <row r="45" spans="1:60" s="1708" customFormat="1" ht="11.25" hidden="1" customHeight="1">
      <c r="A45" s="1249"/>
      <c r="B45" s="1249"/>
      <c r="C45" s="1249"/>
      <c r="D45" s="1249"/>
      <c r="E45" s="1249"/>
      <c r="F45" s="1249"/>
      <c r="G45" s="1249"/>
      <c r="H45" s="1249"/>
      <c r="I45" s="1249"/>
      <c r="J45" s="1249"/>
      <c r="K45" s="1249"/>
      <c r="L45" s="1243"/>
      <c r="M45" s="1241"/>
      <c r="N45" s="1241"/>
      <c r="O45" s="1241"/>
      <c r="P45" s="438"/>
      <c r="Q45" s="1133"/>
      <c r="R45" s="1133">
        <v>1</v>
      </c>
      <c r="S45" s="1158" t="s">
        <v>108</v>
      </c>
      <c r="T45" s="1134" t="s">
        <v>109</v>
      </c>
      <c r="U45" s="1116" t="str">
        <f ca="1">OFFSET(U45,0,-1)</f>
        <v>2</v>
      </c>
      <c r="V45" s="1342">
        <f t="shared" ref="V45:AA45" ca="1" si="2">OFFSET(V45,0,-1)+1</f>
        <v>3</v>
      </c>
      <c r="W45" s="1342">
        <f t="shared" ca="1" si="2"/>
        <v>4</v>
      </c>
      <c r="X45" s="1342">
        <f t="shared" ca="1" si="2"/>
        <v>5</v>
      </c>
      <c r="Y45" s="1342">
        <f t="shared" ca="1" si="2"/>
        <v>6</v>
      </c>
      <c r="Z45" s="1342">
        <f t="shared" ca="1" si="2"/>
        <v>7</v>
      </c>
      <c r="AA45" s="2231">
        <f t="shared" ca="1" si="2"/>
        <v>8</v>
      </c>
      <c r="AB45" s="2231"/>
      <c r="AC45" s="1342">
        <f ca="1">OFFSET(AC45,0,-2)+1</f>
        <v>9</v>
      </c>
      <c r="AD45" s="1342">
        <f ca="1">OFFSET(AD45,0,-1)+1</f>
        <v>10</v>
      </c>
      <c r="AE45" s="1342"/>
      <c r="AF45" s="1342"/>
      <c r="AG45" s="1342"/>
      <c r="AH45" s="1342"/>
      <c r="AI45" s="1342"/>
      <c r="AJ45" s="1342"/>
      <c r="AK45" s="1342"/>
      <c r="AL45" s="1342"/>
      <c r="AM45" s="1342"/>
      <c r="AN45" s="1342"/>
      <c r="AO45" s="1342"/>
      <c r="AP45" s="1342"/>
      <c r="AQ45" s="1342"/>
      <c r="AR45" s="1342"/>
      <c r="AS45" s="1342"/>
      <c r="AT45" s="1342"/>
      <c r="AU45" s="1342"/>
      <c r="AV45" s="1342"/>
      <c r="AW45" s="1342">
        <f ca="1">OFFSET(AW45,0,-1)+1</f>
        <v>1</v>
      </c>
      <c r="AX45" s="1342">
        <f ca="1">OFFSET(AX45,0,-1)+1</f>
        <v>2</v>
      </c>
      <c r="AY45" s="2231">
        <f ca="1">OFFSET(AY45,0,-1)+1</f>
        <v>3</v>
      </c>
      <c r="AZ45" s="2231"/>
      <c r="BA45" s="1342">
        <f ca="1">OFFSET(BA45,0,-2)+1</f>
        <v>4</v>
      </c>
      <c r="BB45" s="1116">
        <f ca="1">OFFSET(BB45,0,-1)</f>
        <v>4</v>
      </c>
      <c r="BC45" s="1342">
        <f ca="1">OFFSET(BC45,0,-1)+1</f>
        <v>5</v>
      </c>
      <c r="BD45" s="439"/>
      <c r="BE45" s="439"/>
      <c r="BF45" s="439"/>
      <c r="BG45" s="439"/>
      <c r="BH45" s="439"/>
    </row>
    <row r="46" spans="1:60" ht="21" customHeight="1">
      <c r="A46" s="1242" t="s">
        <v>268</v>
      </c>
      <c r="B46" s="1242"/>
      <c r="C46" s="1242"/>
      <c r="D46" s="1242"/>
      <c r="E46" s="2221">
        <v>1</v>
      </c>
      <c r="F46" s="1242"/>
      <c r="G46" s="1242"/>
      <c r="H46" s="1242"/>
      <c r="I46" s="1242"/>
      <c r="J46" s="1242"/>
      <c r="K46" s="1242"/>
      <c r="L46" s="1243"/>
      <c r="M46" s="1244"/>
      <c r="N46" s="1244"/>
      <c r="O46" s="1244"/>
      <c r="P46" s="1277"/>
      <c r="Q46" s="770"/>
      <c r="R46" s="279"/>
      <c r="S46" s="1353">
        <f>INDEX(PT_DIFFERENTIATION_NUM_NTAR,MATCH(A46,PT_DIFFERENTIATION_NTAR_ID,0))</f>
        <v>0</v>
      </c>
      <c r="T46" s="216" t="s">
        <v>124</v>
      </c>
      <c r="U46" s="218"/>
      <c r="V46" s="2216"/>
      <c r="W46" s="2216"/>
      <c r="X46" s="2216"/>
      <c r="Y46" s="2216"/>
      <c r="Z46" s="2216"/>
      <c r="AA46" s="2216"/>
      <c r="AB46" s="2216"/>
      <c r="AC46" s="2217"/>
      <c r="AD46" s="2215" t="str">
        <f>INDEX(PT_DIFFERENTIATION_NTAR,MATCH(A46,PT_DIFFERENTIATION_NTAR_ID,0))</f>
        <v/>
      </c>
      <c r="AE46" s="2216"/>
      <c r="AF46" s="2216"/>
      <c r="AG46" s="2216"/>
      <c r="AH46" s="2216"/>
      <c r="AI46" s="2216"/>
      <c r="AJ46" s="2216"/>
      <c r="AK46" s="2216"/>
      <c r="AL46" s="2216"/>
      <c r="AM46" s="2216"/>
      <c r="AN46" s="2216"/>
      <c r="AO46" s="2216"/>
      <c r="AP46" s="2216"/>
      <c r="AQ46" s="2216"/>
      <c r="AR46" s="2216"/>
      <c r="AS46" s="2216"/>
      <c r="AT46" s="2216"/>
      <c r="AU46" s="2216"/>
      <c r="AV46" s="2216"/>
      <c r="AW46" s="2216"/>
      <c r="AX46" s="2216"/>
      <c r="AY46" s="2216"/>
      <c r="AZ46" s="2216"/>
      <c r="BA46" s="2216"/>
      <c r="BB46" s="2217"/>
      <c r="BC46" s="1138"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BE46" s="428"/>
      <c r="BF46" s="428" t="str">
        <f t="shared" ref="BF46:BF52" si="3">IF(T46="","",T46)</f>
        <v>Наименование тарифа</v>
      </c>
      <c r="BG46" s="428"/>
      <c r="BH46" s="428"/>
    </row>
    <row r="47" spans="1:60" ht="21" customHeight="1">
      <c r="A47" s="1242" t="s">
        <v>268</v>
      </c>
      <c r="B47" s="1242" t="s">
        <v>269</v>
      </c>
      <c r="C47" s="1242"/>
      <c r="D47" s="1242"/>
      <c r="E47" s="2222"/>
      <c r="F47" s="2221">
        <v>1</v>
      </c>
      <c r="G47" s="1242"/>
      <c r="H47" s="1242"/>
      <c r="I47" s="1242"/>
      <c r="J47" s="1242"/>
      <c r="K47" s="1242"/>
      <c r="L47" s="1243"/>
      <c r="M47" s="1244"/>
      <c r="N47" s="1244"/>
      <c r="O47" s="1244"/>
      <c r="P47" s="1278"/>
      <c r="Q47" s="1279"/>
      <c r="R47" s="277"/>
      <c r="S47" s="1353" t="str">
        <f>INDEX(PT_DIFFERENTIATION_NUM_TER,MATCH(B47,PT_DIFFERENTIATION_TER_ID,0))</f>
        <v>.</v>
      </c>
      <c r="T47" s="228" t="s">
        <v>1463</v>
      </c>
      <c r="U47" s="218"/>
      <c r="V47" s="2216"/>
      <c r="W47" s="2216"/>
      <c r="X47" s="2216"/>
      <c r="Y47" s="2216"/>
      <c r="Z47" s="2216"/>
      <c r="AA47" s="2216"/>
      <c r="AB47" s="2216"/>
      <c r="AC47" s="2217"/>
      <c r="AD47" s="2215" t="str">
        <f>INDEX(PT_DIFFERENTIATION_TER,MATCH(B47,PT_DIFFERENTIATION_TER_ID,0))</f>
        <v/>
      </c>
      <c r="AE47" s="2216"/>
      <c r="AF47" s="2216"/>
      <c r="AG47" s="2216"/>
      <c r="AH47" s="2216"/>
      <c r="AI47" s="2216"/>
      <c r="AJ47" s="2216"/>
      <c r="AK47" s="2216"/>
      <c r="AL47" s="2216"/>
      <c r="AM47" s="2216"/>
      <c r="AN47" s="2216"/>
      <c r="AO47" s="2216"/>
      <c r="AP47" s="2216"/>
      <c r="AQ47" s="2216"/>
      <c r="AR47" s="2216"/>
      <c r="AS47" s="2216"/>
      <c r="AT47" s="2216"/>
      <c r="AU47" s="2216"/>
      <c r="AV47" s="2216"/>
      <c r="AW47" s="2216"/>
      <c r="AX47" s="2216"/>
      <c r="AY47" s="2216"/>
      <c r="AZ47" s="2216"/>
      <c r="BA47" s="2216"/>
      <c r="BB47" s="2217"/>
      <c r="BC47" s="1138" t="s">
        <v>1464</v>
      </c>
      <c r="BE47" s="428"/>
      <c r="BF47" s="428" t="str">
        <f t="shared" si="3"/>
        <v>Территория действия тарифа</v>
      </c>
      <c r="BG47" s="428"/>
      <c r="BH47" s="428"/>
    </row>
    <row r="48" spans="1:60" ht="33.75" customHeight="1">
      <c r="A48" s="1242" t="s">
        <v>268</v>
      </c>
      <c r="B48" s="1242" t="s">
        <v>269</v>
      </c>
      <c r="C48" s="1242" t="s">
        <v>270</v>
      </c>
      <c r="D48" s="1242"/>
      <c r="E48" s="2222"/>
      <c r="F48" s="2222"/>
      <c r="G48" s="2221">
        <v>1</v>
      </c>
      <c r="H48" s="1242"/>
      <c r="I48" s="1242"/>
      <c r="J48" s="1242"/>
      <c r="K48" s="1242"/>
      <c r="L48" s="1243"/>
      <c r="M48" s="1244"/>
      <c r="N48" s="1244"/>
      <c r="O48" s="1244"/>
      <c r="P48" s="1280"/>
      <c r="Q48" s="1279"/>
      <c r="R48" s="277"/>
      <c r="S48" s="1353" t="str">
        <f>INDEX(PT_DIFFERENTIATION_NUM_CS,MATCH(C48,PT_DIFFERENTIATION_CS_ID,0))</f>
        <v>..</v>
      </c>
      <c r="T48" s="229" t="s">
        <v>2100</v>
      </c>
      <c r="U48" s="218"/>
      <c r="V48" s="2216"/>
      <c r="W48" s="2216"/>
      <c r="X48" s="2216"/>
      <c r="Y48" s="2216"/>
      <c r="Z48" s="2216"/>
      <c r="AA48" s="2216"/>
      <c r="AB48" s="2216"/>
      <c r="AC48" s="2217"/>
      <c r="AD48" s="2215" t="str">
        <f>INDEX(PT_DIFFERENTIATION_CS,MATCH(C48,PT_DIFFERENTIATION_CS_ID,0))</f>
        <v/>
      </c>
      <c r="AE48" s="2216"/>
      <c r="AF48" s="2216"/>
      <c r="AG48" s="2216"/>
      <c r="AH48" s="2216"/>
      <c r="AI48" s="2216"/>
      <c r="AJ48" s="2216"/>
      <c r="AK48" s="2216"/>
      <c r="AL48" s="2216"/>
      <c r="AM48" s="2216"/>
      <c r="AN48" s="2216"/>
      <c r="AO48" s="2216"/>
      <c r="AP48" s="2216"/>
      <c r="AQ48" s="2216"/>
      <c r="AR48" s="2216"/>
      <c r="AS48" s="2216"/>
      <c r="AT48" s="2216"/>
      <c r="AU48" s="2216"/>
      <c r="AV48" s="2216"/>
      <c r="AW48" s="2216"/>
      <c r="AX48" s="2216"/>
      <c r="AY48" s="2216"/>
      <c r="AZ48" s="2216"/>
      <c r="BA48" s="2216"/>
      <c r="BB48" s="2217"/>
      <c r="BC48" s="1138" t="s">
        <v>2101</v>
      </c>
      <c r="BE48" s="428"/>
      <c r="BF48" s="428" t="str">
        <f t="shared" si="3"/>
        <v>Наименование централизованной системы водоотведения</v>
      </c>
      <c r="BG48" s="428"/>
      <c r="BH48" s="428"/>
    </row>
    <row r="49" spans="1:60" s="1755" customFormat="1" ht="0" hidden="1" customHeight="1">
      <c r="A49" s="1226" t="s">
        <v>268</v>
      </c>
      <c r="B49" s="1226" t="s">
        <v>269</v>
      </c>
      <c r="C49" s="1226" t="s">
        <v>270</v>
      </c>
      <c r="D49" s="1226" t="s">
        <v>2115</v>
      </c>
      <c r="E49" s="2222"/>
      <c r="F49" s="2222"/>
      <c r="G49" s="2222"/>
      <c r="H49" s="2221">
        <v>1</v>
      </c>
      <c r="I49" s="1226"/>
      <c r="J49" s="1226"/>
      <c r="K49" s="1226"/>
      <c r="L49" s="1229"/>
      <c r="M49" s="1199"/>
      <c r="N49" s="1199"/>
      <c r="O49" s="1199"/>
      <c r="P49" s="1356"/>
      <c r="Q49" s="1357"/>
      <c r="R49" s="281"/>
      <c r="S49" s="932"/>
      <c r="T49" s="1358"/>
      <c r="U49" s="1262"/>
      <c r="V49" s="2250"/>
      <c r="W49" s="2250"/>
      <c r="X49" s="2250"/>
      <c r="Y49" s="2250"/>
      <c r="Z49" s="2250"/>
      <c r="AA49" s="2250"/>
      <c r="AB49" s="2250"/>
      <c r="AC49" s="2251"/>
      <c r="AD49" s="2249"/>
      <c r="AE49" s="2250"/>
      <c r="AF49" s="2250"/>
      <c r="AG49" s="2250"/>
      <c r="AH49" s="2250"/>
      <c r="AI49" s="2250"/>
      <c r="AJ49" s="2250"/>
      <c r="AK49" s="2250"/>
      <c r="AL49" s="2250"/>
      <c r="AM49" s="2250"/>
      <c r="AN49" s="2250"/>
      <c r="AO49" s="2250"/>
      <c r="AP49" s="2250"/>
      <c r="AQ49" s="2250"/>
      <c r="AR49" s="2250"/>
      <c r="AS49" s="2250"/>
      <c r="AT49" s="2250"/>
      <c r="AU49" s="2250"/>
      <c r="AV49" s="2250"/>
      <c r="AW49" s="2250"/>
      <c r="AX49" s="2250"/>
      <c r="AY49" s="2250"/>
      <c r="AZ49" s="2250"/>
      <c r="BA49" s="2250"/>
      <c r="BB49" s="2251"/>
      <c r="BC49" s="1263" t="s">
        <v>1468</v>
      </c>
      <c r="BE49" s="428"/>
      <c r="BF49" s="428" t="str">
        <f t="shared" si="3"/>
        <v/>
      </c>
      <c r="BG49" s="428"/>
      <c r="BH49" s="428"/>
    </row>
    <row r="50" spans="1:60" s="1755" customFormat="1" ht="0" hidden="1" customHeight="1">
      <c r="A50" s="1226" t="s">
        <v>268</v>
      </c>
      <c r="B50" s="1226" t="s">
        <v>269</v>
      </c>
      <c r="C50" s="1226" t="s">
        <v>270</v>
      </c>
      <c r="D50" s="1226" t="s">
        <v>2115</v>
      </c>
      <c r="E50" s="2222"/>
      <c r="F50" s="2222"/>
      <c r="G50" s="2222"/>
      <c r="H50" s="2222"/>
      <c r="I50" s="2223" t="str">
        <f>S49&amp;".1"</f>
        <v>.1</v>
      </c>
      <c r="J50" s="1226"/>
      <c r="K50" s="1226"/>
      <c r="L50" s="1229" t="s">
        <v>1469</v>
      </c>
      <c r="M50" s="438"/>
      <c r="N50" s="438"/>
      <c r="O50" s="438"/>
      <c r="P50" s="2143">
        <v>1</v>
      </c>
      <c r="Q50" s="1341"/>
      <c r="R50" s="280"/>
      <c r="S50" s="932"/>
      <c r="T50" s="1261"/>
      <c r="U50" s="1262"/>
      <c r="V50" s="2250"/>
      <c r="W50" s="2250"/>
      <c r="X50" s="2250"/>
      <c r="Y50" s="2250"/>
      <c r="Z50" s="2250"/>
      <c r="AA50" s="2250"/>
      <c r="AB50" s="2250"/>
      <c r="AC50" s="2251"/>
      <c r="AD50" s="2249"/>
      <c r="AE50" s="2250"/>
      <c r="AF50" s="2250"/>
      <c r="AG50" s="2250"/>
      <c r="AH50" s="2250"/>
      <c r="AI50" s="2250"/>
      <c r="AJ50" s="2250"/>
      <c r="AK50" s="2250"/>
      <c r="AL50" s="2250"/>
      <c r="AM50" s="2250"/>
      <c r="AN50" s="2250"/>
      <c r="AO50" s="2250"/>
      <c r="AP50" s="2250"/>
      <c r="AQ50" s="2250"/>
      <c r="AR50" s="2250"/>
      <c r="AS50" s="2250"/>
      <c r="AT50" s="2250"/>
      <c r="AU50" s="2250"/>
      <c r="AV50" s="2250"/>
      <c r="AW50" s="2250"/>
      <c r="AX50" s="2250"/>
      <c r="AY50" s="2250"/>
      <c r="AZ50" s="2250"/>
      <c r="BA50" s="2250"/>
      <c r="BB50" s="2251"/>
      <c r="BC50" s="1263"/>
      <c r="BE50" s="428"/>
      <c r="BF50" s="428" t="str">
        <f t="shared" si="3"/>
        <v/>
      </c>
      <c r="BG50" s="428"/>
      <c r="BH50" s="428"/>
    </row>
    <row r="51" spans="1:60" s="1755" customFormat="1" ht="0" hidden="1" customHeight="1">
      <c r="A51" s="1226" t="s">
        <v>268</v>
      </c>
      <c r="B51" s="1226" t="s">
        <v>269</v>
      </c>
      <c r="C51" s="1226" t="s">
        <v>270</v>
      </c>
      <c r="D51" s="1226" t="s">
        <v>2115</v>
      </c>
      <c r="E51" s="2222"/>
      <c r="F51" s="2222"/>
      <c r="G51" s="2222"/>
      <c r="H51" s="2222"/>
      <c r="I51" s="2224"/>
      <c r="J51" s="2223" t="str">
        <f>S49&amp;".1"</f>
        <v>.1</v>
      </c>
      <c r="K51" s="1226"/>
      <c r="L51" s="1229"/>
      <c r="M51" s="438"/>
      <c r="N51" s="438"/>
      <c r="O51" s="438"/>
      <c r="P51" s="2143"/>
      <c r="Q51" s="2143">
        <v>1</v>
      </c>
      <c r="R51" s="281"/>
      <c r="S51" s="932"/>
      <c r="T51" s="1271"/>
      <c r="U51" s="1262"/>
      <c r="V51" s="2250"/>
      <c r="W51" s="2250"/>
      <c r="X51" s="2250"/>
      <c r="Y51" s="2250"/>
      <c r="Z51" s="2250"/>
      <c r="AA51" s="2250"/>
      <c r="AB51" s="2250"/>
      <c r="AC51" s="2251"/>
      <c r="AD51" s="2249"/>
      <c r="AE51" s="2250"/>
      <c r="AF51" s="2250"/>
      <c r="AG51" s="2250"/>
      <c r="AH51" s="2250"/>
      <c r="AI51" s="2250"/>
      <c r="AJ51" s="2250"/>
      <c r="AK51" s="2250"/>
      <c r="AL51" s="2250"/>
      <c r="AM51" s="2250"/>
      <c r="AN51" s="2328"/>
      <c r="AO51" s="2328"/>
      <c r="AP51" s="2250"/>
      <c r="AQ51" s="2250"/>
      <c r="AR51" s="2250"/>
      <c r="AS51" s="2250"/>
      <c r="AT51" s="2250"/>
      <c r="AU51" s="2250"/>
      <c r="AV51" s="2250"/>
      <c r="AW51" s="2250"/>
      <c r="AX51" s="2250"/>
      <c r="AY51" s="2250"/>
      <c r="AZ51" s="2250"/>
      <c r="BA51" s="2250"/>
      <c r="BB51" s="2251"/>
      <c r="BC51" s="1263"/>
      <c r="BE51" s="428"/>
      <c r="BF51" s="428" t="str">
        <f t="shared" si="3"/>
        <v/>
      </c>
      <c r="BG51" s="428"/>
      <c r="BH51" s="428"/>
    </row>
    <row r="52" spans="1:60" ht="11.25" customHeight="1">
      <c r="A52" s="1242" t="s">
        <v>268</v>
      </c>
      <c r="B52" s="1242" t="s">
        <v>269</v>
      </c>
      <c r="C52" s="1242" t="s">
        <v>270</v>
      </c>
      <c r="D52" s="1242" t="s">
        <v>2115</v>
      </c>
      <c r="E52" s="2222"/>
      <c r="F52" s="2222"/>
      <c r="G52" s="2222"/>
      <c r="H52" s="2222"/>
      <c r="I52" s="2224"/>
      <c r="J52" s="2224"/>
      <c r="K52" s="2223" t="str">
        <f>S48&amp;".1"</f>
        <v>...1</v>
      </c>
      <c r="L52" s="1243"/>
      <c r="P52" s="2143"/>
      <c r="Q52" s="2143"/>
      <c r="R52" s="281">
        <v>1</v>
      </c>
      <c r="S52" s="2272" t="str">
        <f>$K52</f>
        <v>...1</v>
      </c>
      <c r="T52" s="2322"/>
      <c r="U52" s="218"/>
      <c r="V52" s="1664"/>
      <c r="W52" s="1666"/>
      <c r="X52" s="1664"/>
      <c r="Y52" s="1666"/>
      <c r="Z52" s="1591"/>
      <c r="AA52" s="1330" t="s">
        <v>62</v>
      </c>
      <c r="AB52" s="1591"/>
      <c r="AC52" s="1330" t="s">
        <v>62</v>
      </c>
      <c r="AD52" s="2079" t="s">
        <v>62</v>
      </c>
      <c r="AE52" s="2268"/>
      <c r="AF52" s="2267">
        <v>1</v>
      </c>
      <c r="AG52" s="2321"/>
      <c r="AH52" s="2017" t="s">
        <v>62</v>
      </c>
      <c r="AI52" s="2268"/>
      <c r="AJ52" s="2267">
        <v>1</v>
      </c>
      <c r="AK52" s="2320" t="s">
        <v>17</v>
      </c>
      <c r="AL52" s="2017" t="s">
        <v>62</v>
      </c>
      <c r="AM52" s="2067"/>
      <c r="AN52" s="2267">
        <v>1</v>
      </c>
      <c r="AO52" s="2325"/>
      <c r="AP52" s="2326" t="s">
        <v>62</v>
      </c>
      <c r="AQ52" s="231"/>
      <c r="AR52" s="1346">
        <v>1</v>
      </c>
      <c r="AS52" s="1352" t="s">
        <v>17</v>
      </c>
      <c r="AT52" s="1664"/>
      <c r="AU52" s="1666"/>
      <c r="AV52" s="1664"/>
      <c r="AW52" s="1666"/>
      <c r="AX52" s="1591"/>
      <c r="AY52" s="1330" t="s">
        <v>62</v>
      </c>
      <c r="AZ52" s="1591"/>
      <c r="BA52" s="1330" t="s">
        <v>62</v>
      </c>
      <c r="BB52" s="1672"/>
      <c r="BC52" s="2243" t="s">
        <v>1698</v>
      </c>
      <c r="BE52" s="428"/>
      <c r="BF52" s="428" t="str">
        <f t="shared" si="3"/>
        <v/>
      </c>
      <c r="BG52" s="428"/>
      <c r="BH52" s="428"/>
    </row>
    <row r="53" spans="1:60" ht="11.25" customHeight="1">
      <c r="A53" s="1242"/>
      <c r="B53" s="1242"/>
      <c r="C53" s="1242"/>
      <c r="D53" s="1242"/>
      <c r="E53" s="2222"/>
      <c r="F53" s="2222"/>
      <c r="G53" s="2222"/>
      <c r="H53" s="2222"/>
      <c r="I53" s="2224"/>
      <c r="J53" s="2224"/>
      <c r="K53" s="2223"/>
      <c r="L53" s="1243"/>
      <c r="P53" s="2143"/>
      <c r="Q53" s="2143"/>
      <c r="R53" s="281"/>
      <c r="S53" s="2273"/>
      <c r="T53" s="2323"/>
      <c r="U53" s="218"/>
      <c r="V53" s="1680"/>
      <c r="W53" s="1686"/>
      <c r="X53" s="1680"/>
      <c r="Y53" s="1686"/>
      <c r="Z53" s="1680"/>
      <c r="AA53" s="1680"/>
      <c r="AB53" s="1680"/>
      <c r="AC53" s="1680"/>
      <c r="AD53" s="2080"/>
      <c r="AE53" s="2268"/>
      <c r="AF53" s="2267"/>
      <c r="AG53" s="2321"/>
      <c r="AH53" s="2017"/>
      <c r="AI53" s="2268"/>
      <c r="AJ53" s="2267"/>
      <c r="AK53" s="2320"/>
      <c r="AL53" s="2017"/>
      <c r="AM53" s="2072"/>
      <c r="AN53" s="2267"/>
      <c r="AO53" s="2325"/>
      <c r="AP53" s="2327"/>
      <c r="AQ53" s="238"/>
      <c r="AR53" s="351"/>
      <c r="AS53" s="351" t="s">
        <v>1699</v>
      </c>
      <c r="AT53" s="1680"/>
      <c r="AU53" s="1686"/>
      <c r="AV53" s="1680"/>
      <c r="AW53" s="1686"/>
      <c r="AX53" s="1680"/>
      <c r="AY53" s="1680"/>
      <c r="AZ53" s="1680"/>
      <c r="BA53" s="1680"/>
      <c r="BB53" s="1685"/>
      <c r="BC53" s="2244"/>
      <c r="BE53" s="428"/>
      <c r="BF53" s="428"/>
      <c r="BG53" s="428"/>
      <c r="BH53" s="428"/>
    </row>
    <row r="54" spans="1:60" ht="11.25" customHeight="1">
      <c r="A54" s="1242" t="s">
        <v>268</v>
      </c>
      <c r="B54" s="1242"/>
      <c r="C54" s="1242"/>
      <c r="D54" s="1242"/>
      <c r="E54" s="2222"/>
      <c r="F54" s="2222"/>
      <c r="G54" s="2222"/>
      <c r="H54" s="2222"/>
      <c r="I54" s="2224"/>
      <c r="J54" s="2224"/>
      <c r="K54" s="2223"/>
      <c r="L54" s="1243"/>
      <c r="P54" s="2143"/>
      <c r="Q54" s="2143"/>
      <c r="R54" s="281"/>
      <c r="S54" s="2273"/>
      <c r="T54" s="2323"/>
      <c r="U54" s="218"/>
      <c r="V54" s="1680"/>
      <c r="W54" s="1686"/>
      <c r="X54" s="1680"/>
      <c r="Y54" s="1686"/>
      <c r="Z54" s="1680"/>
      <c r="AA54" s="1680"/>
      <c r="AB54" s="1680"/>
      <c r="AC54" s="1680"/>
      <c r="AD54" s="2080"/>
      <c r="AE54" s="2268"/>
      <c r="AF54" s="2267"/>
      <c r="AG54" s="2321"/>
      <c r="AH54" s="2017"/>
      <c r="AI54" s="2268"/>
      <c r="AJ54" s="2267"/>
      <c r="AK54" s="2320"/>
      <c r="AL54" s="2017"/>
      <c r="AM54" s="238"/>
      <c r="AN54" s="1359"/>
      <c r="AO54" s="1359" t="s">
        <v>2108</v>
      </c>
      <c r="AP54" s="351"/>
      <c r="AQ54" s="351"/>
      <c r="AR54" s="351"/>
      <c r="AS54" s="1680"/>
      <c r="AT54" s="1680"/>
      <c r="AU54" s="1686"/>
      <c r="AV54" s="1680"/>
      <c r="AW54" s="1686"/>
      <c r="AX54" s="1680"/>
      <c r="AY54" s="1680"/>
      <c r="AZ54" s="1680"/>
      <c r="BA54" s="1680"/>
      <c r="BB54" s="1685"/>
      <c r="BC54" s="2244"/>
      <c r="BE54" s="428"/>
      <c r="BF54" s="428"/>
      <c r="BG54" s="428"/>
      <c r="BH54" s="428"/>
    </row>
    <row r="55" spans="1:60" ht="11.25" customHeight="1">
      <c r="A55" s="1242" t="s">
        <v>268</v>
      </c>
      <c r="B55" s="1242"/>
      <c r="C55" s="1242"/>
      <c r="D55" s="1242"/>
      <c r="E55" s="2222"/>
      <c r="F55" s="2222"/>
      <c r="G55" s="2222"/>
      <c r="H55" s="2222"/>
      <c r="I55" s="2224"/>
      <c r="J55" s="2224"/>
      <c r="K55" s="2223"/>
      <c r="L55" s="1243"/>
      <c r="P55" s="2143"/>
      <c r="Q55" s="2143"/>
      <c r="R55" s="281"/>
      <c r="S55" s="2273"/>
      <c r="T55" s="2323"/>
      <c r="U55" s="218"/>
      <c r="V55" s="1680"/>
      <c r="W55" s="1686"/>
      <c r="X55" s="1680"/>
      <c r="Y55" s="1686"/>
      <c r="Z55" s="1680"/>
      <c r="AA55" s="1680"/>
      <c r="AB55" s="1680"/>
      <c r="AC55" s="1680"/>
      <c r="AD55" s="2080"/>
      <c r="AE55" s="2268"/>
      <c r="AF55" s="2267"/>
      <c r="AG55" s="2321"/>
      <c r="AH55" s="2017"/>
      <c r="AI55" s="212"/>
      <c r="AJ55" s="350"/>
      <c r="AK55" s="233" t="s">
        <v>2109</v>
      </c>
      <c r="AL55" s="1680"/>
      <c r="AM55" s="1680"/>
      <c r="AN55" s="1680"/>
      <c r="AO55" s="1680"/>
      <c r="AP55" s="1680"/>
      <c r="AQ55" s="1680"/>
      <c r="AR55" s="1680"/>
      <c r="AS55" s="1680"/>
      <c r="AT55" s="1680"/>
      <c r="AU55" s="1686"/>
      <c r="AV55" s="1680"/>
      <c r="AW55" s="1686"/>
      <c r="AX55" s="1680"/>
      <c r="AY55" s="1680"/>
      <c r="AZ55" s="1680"/>
      <c r="BA55" s="1680"/>
      <c r="BB55" s="1685"/>
      <c r="BC55" s="2244"/>
      <c r="BE55" s="428"/>
      <c r="BF55" s="428"/>
      <c r="BG55" s="428"/>
      <c r="BH55" s="428"/>
    </row>
    <row r="56" spans="1:60" ht="11.25" customHeight="1">
      <c r="A56" s="1242" t="s">
        <v>268</v>
      </c>
      <c r="B56" s="1242" t="s">
        <v>269</v>
      </c>
      <c r="C56" s="1242" t="s">
        <v>270</v>
      </c>
      <c r="D56" s="1242" t="s">
        <v>2115</v>
      </c>
      <c r="E56" s="2222"/>
      <c r="F56" s="2222"/>
      <c r="G56" s="2222"/>
      <c r="H56" s="2222"/>
      <c r="I56" s="2224"/>
      <c r="J56" s="2224"/>
      <c r="K56" s="2223"/>
      <c r="L56" s="1243"/>
      <c r="P56" s="2143"/>
      <c r="Q56" s="2143"/>
      <c r="R56" s="281"/>
      <c r="S56" s="2274"/>
      <c r="T56" s="2324"/>
      <c r="U56" s="218"/>
      <c r="V56" s="1680"/>
      <c r="W56" s="1681" t="str">
        <f>Z52&amp;"-"&amp;AB52</f>
        <v>-</v>
      </c>
      <c r="X56" s="1680"/>
      <c r="Y56" s="1681" t="str">
        <f>AB52&amp;"-"&amp;AD52</f>
        <v>-да</v>
      </c>
      <c r="Z56" s="1680"/>
      <c r="AA56" s="1680"/>
      <c r="AB56" s="1680"/>
      <c r="AC56" s="1680"/>
      <c r="AD56" s="2022"/>
      <c r="AE56" s="232"/>
      <c r="AF56" s="234"/>
      <c r="AG56" s="351" t="s">
        <v>1702</v>
      </c>
      <c r="AH56" s="1680"/>
      <c r="AI56" s="1680"/>
      <c r="AJ56" s="1680"/>
      <c r="AK56" s="1680"/>
      <c r="AL56" s="1680"/>
      <c r="AM56" s="1680"/>
      <c r="AN56" s="1680"/>
      <c r="AO56" s="1680"/>
      <c r="AP56" s="1680"/>
      <c r="AQ56" s="1680"/>
      <c r="AR56" s="1680"/>
      <c r="AS56" s="1680"/>
      <c r="AT56" s="1680"/>
      <c r="AU56" s="1681" t="str">
        <f>AX52&amp;"-"&amp;AZ52</f>
        <v>-</v>
      </c>
      <c r="AV56" s="1680"/>
      <c r="AW56" s="1681" t="str">
        <f>AZ52&amp;"-"&amp;BB52</f>
        <v>-</v>
      </c>
      <c r="AX56" s="1680"/>
      <c r="AY56" s="1680"/>
      <c r="AZ56" s="1680"/>
      <c r="BA56" s="1680"/>
      <c r="BB56" s="1688" t="str">
        <f>BE52&amp;"-"&amp;BG52</f>
        <v>-</v>
      </c>
      <c r="BC56" s="2244"/>
      <c r="BE56" s="428"/>
      <c r="BF56" s="428" t="str">
        <f t="shared" ref="BF56:BF63" si="4">IF(T56="","",T56)</f>
        <v/>
      </c>
      <c r="BG56" s="428"/>
      <c r="BH56" s="428"/>
    </row>
    <row r="57" spans="1:60" ht="11.25" customHeight="1">
      <c r="A57" s="1242" t="s">
        <v>268</v>
      </c>
      <c r="B57" s="1242" t="s">
        <v>269</v>
      </c>
      <c r="C57" s="1242" t="s">
        <v>270</v>
      </c>
      <c r="D57" s="1242" t="s">
        <v>2115</v>
      </c>
      <c r="E57" s="2222"/>
      <c r="F57" s="2222"/>
      <c r="G57" s="2222"/>
      <c r="H57" s="2222"/>
      <c r="I57" s="2224"/>
      <c r="J57" s="2223"/>
      <c r="K57" s="1242"/>
      <c r="L57" s="1243"/>
      <c r="P57" s="2143"/>
      <c r="Q57" s="2143"/>
      <c r="R57" s="280"/>
      <c r="S57" s="1159"/>
      <c r="T57" s="205" t="s">
        <v>1543</v>
      </c>
      <c r="U57" s="294"/>
      <c r="V57" s="294"/>
      <c r="W57" s="294"/>
      <c r="X57" s="294"/>
      <c r="Y57" s="294"/>
      <c r="Z57" s="294"/>
      <c r="AA57" s="294"/>
      <c r="AB57" s="294"/>
      <c r="AC57" s="251"/>
      <c r="AD57" s="1364"/>
      <c r="AE57" s="294"/>
      <c r="AF57" s="294"/>
      <c r="AG57" s="294"/>
      <c r="AH57" s="294"/>
      <c r="AI57" s="294"/>
      <c r="AJ57" s="294"/>
      <c r="AK57" s="294"/>
      <c r="AL57" s="294"/>
      <c r="AM57" s="294"/>
      <c r="AN57" s="294"/>
      <c r="AO57" s="294"/>
      <c r="AP57" s="294"/>
      <c r="AQ57" s="294"/>
      <c r="AR57" s="294"/>
      <c r="AS57" s="294"/>
      <c r="AT57" s="294"/>
      <c r="AU57" s="294"/>
      <c r="AV57" s="294"/>
      <c r="AW57" s="294"/>
      <c r="AX57" s="294"/>
      <c r="AY57" s="294"/>
      <c r="AZ57" s="294"/>
      <c r="BA57" s="294"/>
      <c r="BB57" s="251"/>
      <c r="BC57" s="2245"/>
      <c r="BE57" s="428"/>
      <c r="BF57" s="428" t="str">
        <f t="shared" si="4"/>
        <v>Добавить строку</v>
      </c>
      <c r="BG57" s="428"/>
      <c r="BH57" s="428"/>
    </row>
    <row r="58" spans="1:60" s="1755" customFormat="1" ht="0" hidden="1" customHeight="1">
      <c r="A58" s="1226" t="s">
        <v>268</v>
      </c>
      <c r="B58" s="1226" t="s">
        <v>269</v>
      </c>
      <c r="C58" s="1226" t="s">
        <v>270</v>
      </c>
      <c r="D58" s="1226" t="s">
        <v>2115</v>
      </c>
      <c r="E58" s="2222"/>
      <c r="F58" s="2222"/>
      <c r="G58" s="2222"/>
      <c r="H58" s="2222"/>
      <c r="I58" s="2223"/>
      <c r="J58" s="1226"/>
      <c r="K58" s="1226"/>
      <c r="L58" s="1229"/>
      <c r="M58" s="438"/>
      <c r="N58" s="438"/>
      <c r="O58" s="438"/>
      <c r="P58" s="2143"/>
      <c r="Q58" s="1341"/>
      <c r="R58" s="280"/>
      <c r="S58" s="1264"/>
      <c r="T58" s="1265"/>
      <c r="U58" s="1266"/>
      <c r="V58" s="1266"/>
      <c r="W58" s="1266"/>
      <c r="X58" s="1266"/>
      <c r="Y58" s="1266"/>
      <c r="Z58" s="1266"/>
      <c r="AA58" s="1266"/>
      <c r="AB58" s="1266"/>
      <c r="AC58" s="1266"/>
      <c r="AD58" s="1266"/>
      <c r="AE58" s="1266"/>
      <c r="AF58" s="1266"/>
      <c r="AG58" s="1266"/>
      <c r="AH58" s="1266"/>
      <c r="AI58" s="1266"/>
      <c r="AJ58" s="1266"/>
      <c r="AK58" s="1266"/>
      <c r="AL58" s="1266"/>
      <c r="AM58" s="1266"/>
      <c r="AN58" s="1266"/>
      <c r="AO58" s="1266"/>
      <c r="AP58" s="1266"/>
      <c r="AQ58" s="1266"/>
      <c r="AR58" s="1266"/>
      <c r="AS58" s="1266"/>
      <c r="AT58" s="1266"/>
      <c r="AU58" s="1266"/>
      <c r="AV58" s="1266"/>
      <c r="AW58" s="1266"/>
      <c r="AX58" s="1266"/>
      <c r="AY58" s="1266"/>
      <c r="AZ58" s="1266"/>
      <c r="BA58" s="1266"/>
      <c r="BB58" s="1266"/>
      <c r="BC58" s="1267"/>
      <c r="BE58" s="428"/>
      <c r="BF58" s="428" t="str">
        <f t="shared" si="4"/>
        <v/>
      </c>
      <c r="BG58" s="428"/>
      <c r="BH58" s="428"/>
    </row>
    <row r="59" spans="1:60" s="1755" customFormat="1" ht="0" hidden="1" customHeight="1">
      <c r="A59" s="1226" t="s">
        <v>268</v>
      </c>
      <c r="B59" s="1226" t="s">
        <v>269</v>
      </c>
      <c r="C59" s="1226" t="s">
        <v>270</v>
      </c>
      <c r="D59" s="1226" t="s">
        <v>2115</v>
      </c>
      <c r="E59" s="2222"/>
      <c r="F59" s="2222"/>
      <c r="G59" s="2222"/>
      <c r="H59" s="2221"/>
      <c r="I59" s="1226"/>
      <c r="J59" s="1226"/>
      <c r="K59" s="1226"/>
      <c r="L59" s="1229"/>
      <c r="M59" s="1199"/>
      <c r="N59" s="1199"/>
      <c r="O59" s="446"/>
      <c r="P59" s="311"/>
      <c r="Q59" s="1227"/>
      <c r="R59" s="1273"/>
      <c r="S59" s="1264"/>
      <c r="T59" s="1265"/>
      <c r="U59" s="1266"/>
      <c r="V59" s="1266"/>
      <c r="W59" s="1266"/>
      <c r="X59" s="1266"/>
      <c r="Y59" s="1266"/>
      <c r="Z59" s="1266"/>
      <c r="AA59" s="1266"/>
      <c r="AB59" s="1266"/>
      <c r="AC59" s="1266"/>
      <c r="AD59" s="1266"/>
      <c r="AE59" s="1266"/>
      <c r="AF59" s="1266"/>
      <c r="AG59" s="1266"/>
      <c r="AH59" s="1266"/>
      <c r="AI59" s="1266"/>
      <c r="AJ59" s="1266"/>
      <c r="AK59" s="1266"/>
      <c r="AL59" s="1266"/>
      <c r="AM59" s="1266"/>
      <c r="AN59" s="1266"/>
      <c r="AO59" s="1266"/>
      <c r="AP59" s="1266"/>
      <c r="AQ59" s="1266"/>
      <c r="AR59" s="1266"/>
      <c r="AS59" s="1266"/>
      <c r="AT59" s="1266"/>
      <c r="AU59" s="1266"/>
      <c r="AV59" s="1266"/>
      <c r="AW59" s="1266"/>
      <c r="AX59" s="1266"/>
      <c r="AY59" s="1266"/>
      <c r="AZ59" s="1266"/>
      <c r="BA59" s="1266"/>
      <c r="BB59" s="1266"/>
      <c r="BC59" s="1267"/>
      <c r="BE59" s="428"/>
      <c r="BF59" s="428" t="str">
        <f t="shared" si="4"/>
        <v/>
      </c>
      <c r="BG59" s="428"/>
      <c r="BH59" s="428"/>
    </row>
    <row r="60" spans="1:60" s="1755" customFormat="1" ht="0" hidden="1" customHeight="1">
      <c r="A60" s="1226" t="s">
        <v>268</v>
      </c>
      <c r="B60" s="1226" t="s">
        <v>269</v>
      </c>
      <c r="C60" s="1226" t="s">
        <v>270</v>
      </c>
      <c r="D60" s="1198"/>
      <c r="E60" s="2222"/>
      <c r="F60" s="2222"/>
      <c r="G60" s="2221"/>
      <c r="H60" s="1198"/>
      <c r="I60" s="1198"/>
      <c r="J60" s="1198"/>
      <c r="K60" s="1198"/>
      <c r="L60" s="1354"/>
      <c r="M60" s="1199"/>
      <c r="N60" s="1199"/>
      <c r="P60" s="1200"/>
      <c r="Q60" s="1201"/>
      <c r="R60" s="1200"/>
      <c r="S60" s="1206"/>
      <c r="T60" s="1209"/>
      <c r="U60" s="1208"/>
      <c r="V60" s="1208"/>
      <c r="W60" s="1208"/>
      <c r="X60" s="1208"/>
      <c r="Y60" s="1208"/>
      <c r="Z60" s="1208"/>
      <c r="AA60" s="1208"/>
      <c r="AB60" s="1208"/>
      <c r="AC60" s="1208"/>
      <c r="AD60" s="1208"/>
      <c r="AE60" s="1208"/>
      <c r="AF60" s="1208"/>
      <c r="AG60" s="1208"/>
      <c r="AH60" s="1208"/>
      <c r="AI60" s="1208"/>
      <c r="AJ60" s="1208"/>
      <c r="AK60" s="1208"/>
      <c r="AL60" s="1208"/>
      <c r="AM60" s="1208"/>
      <c r="AN60" s="1208"/>
      <c r="AO60" s="1208"/>
      <c r="AP60" s="1208"/>
      <c r="AQ60" s="1208"/>
      <c r="AR60" s="1208"/>
      <c r="AS60" s="1208"/>
      <c r="AT60" s="1208"/>
      <c r="AU60" s="1208"/>
      <c r="AV60" s="1208"/>
      <c r="AW60" s="1208"/>
      <c r="AX60" s="1208"/>
      <c r="AY60" s="1208"/>
      <c r="AZ60" s="1208"/>
      <c r="BA60" s="1208"/>
      <c r="BB60" s="1208"/>
      <c r="BC60" s="1208"/>
      <c r="BE60" s="695"/>
      <c r="BF60" s="695" t="str">
        <f t="shared" si="4"/>
        <v/>
      </c>
      <c r="BG60" s="695"/>
      <c r="BH60" s="695"/>
    </row>
    <row r="61" spans="1:60" s="1755" customFormat="1" ht="0" hidden="1" customHeight="1">
      <c r="A61" s="1226" t="s">
        <v>268</v>
      </c>
      <c r="B61" s="1226" t="s">
        <v>269</v>
      </c>
      <c r="C61" s="1198"/>
      <c r="D61" s="1198"/>
      <c r="E61" s="2222"/>
      <c r="F61" s="2221"/>
      <c r="G61" s="1198"/>
      <c r="H61" s="1198"/>
      <c r="I61" s="1198"/>
      <c r="J61" s="1198"/>
      <c r="K61" s="1198"/>
      <c r="L61" s="1354"/>
      <c r="M61" s="1205"/>
      <c r="N61" s="1205"/>
      <c r="P61" s="1200"/>
      <c r="Q61" s="1201"/>
      <c r="R61" s="1200"/>
      <c r="S61" s="1206"/>
      <c r="T61" s="1209" t="s">
        <v>1439</v>
      </c>
      <c r="U61" s="1208"/>
      <c r="V61" s="1208"/>
      <c r="W61" s="1208"/>
      <c r="X61" s="1208"/>
      <c r="Y61" s="1208"/>
      <c r="Z61" s="1208"/>
      <c r="AA61" s="1208"/>
      <c r="AB61" s="1208"/>
      <c r="AC61" s="1208"/>
      <c r="AD61" s="1208"/>
      <c r="AE61" s="1208"/>
      <c r="AF61" s="1208"/>
      <c r="AG61" s="1208"/>
      <c r="AH61" s="1208"/>
      <c r="AI61" s="1208"/>
      <c r="AJ61" s="1208"/>
      <c r="AK61" s="1208"/>
      <c r="AL61" s="1208"/>
      <c r="AM61" s="1208"/>
      <c r="AN61" s="1208"/>
      <c r="AO61" s="1208"/>
      <c r="AP61" s="1208"/>
      <c r="AQ61" s="1208"/>
      <c r="AR61" s="1208"/>
      <c r="AS61" s="1208"/>
      <c r="AT61" s="1208"/>
      <c r="AU61" s="1208"/>
      <c r="AV61" s="1208"/>
      <c r="AW61" s="1208"/>
      <c r="AX61" s="1208"/>
      <c r="AY61" s="1208"/>
      <c r="AZ61" s="1208"/>
      <c r="BA61" s="1208"/>
      <c r="BB61" s="1208"/>
      <c r="BC61" s="1208"/>
      <c r="BE61" s="695"/>
      <c r="BF61" s="695" t="str">
        <f t="shared" si="4"/>
        <v>Добавить централизованную систему для дифференциации</v>
      </c>
      <c r="BG61" s="695"/>
      <c r="BH61" s="695"/>
    </row>
    <row r="62" spans="1:60" s="1755" customFormat="1" ht="0" hidden="1" customHeight="1">
      <c r="A62" s="1226" t="s">
        <v>268</v>
      </c>
      <c r="B62" s="1226"/>
      <c r="C62" s="1226"/>
      <c r="D62" s="1226"/>
      <c r="E62" s="2221"/>
      <c r="F62" s="1226"/>
      <c r="G62" s="1226"/>
      <c r="H62" s="1226"/>
      <c r="I62" s="1226"/>
      <c r="J62" s="1226"/>
      <c r="K62" s="1226"/>
      <c r="L62" s="1229"/>
      <c r="M62" s="1205"/>
      <c r="N62" s="1205"/>
      <c r="O62" s="446"/>
      <c r="P62" s="311"/>
      <c r="Q62" s="1227"/>
      <c r="R62" s="311"/>
      <c r="S62" s="1206"/>
      <c r="T62" s="1209" t="s">
        <v>1440</v>
      </c>
      <c r="U62" s="1208"/>
      <c r="V62" s="1208"/>
      <c r="W62" s="1208"/>
      <c r="X62" s="1208"/>
      <c r="Y62" s="1208"/>
      <c r="Z62" s="1208"/>
      <c r="AA62" s="1208"/>
      <c r="AB62" s="1208"/>
      <c r="AC62" s="1208"/>
      <c r="AD62" s="1208"/>
      <c r="AE62" s="1208"/>
      <c r="AF62" s="1208"/>
      <c r="AG62" s="1208"/>
      <c r="AH62" s="1208"/>
      <c r="AI62" s="1208"/>
      <c r="AJ62" s="1208"/>
      <c r="AK62" s="1208"/>
      <c r="AL62" s="1208"/>
      <c r="AM62" s="1208"/>
      <c r="AN62" s="1208"/>
      <c r="AO62" s="1208"/>
      <c r="AP62" s="1208"/>
      <c r="AQ62" s="1208"/>
      <c r="AR62" s="1208"/>
      <c r="AS62" s="1208"/>
      <c r="AT62" s="1208"/>
      <c r="AU62" s="1208"/>
      <c r="AV62" s="1208"/>
      <c r="AW62" s="1208"/>
      <c r="AX62" s="1208"/>
      <c r="AY62" s="1208"/>
      <c r="AZ62" s="1208"/>
      <c r="BA62" s="1208"/>
      <c r="BB62" s="1208"/>
      <c r="BC62" s="1208"/>
      <c r="BE62" s="428"/>
      <c r="BF62" s="428" t="str">
        <f t="shared" si="4"/>
        <v>Добавить территорию для дифференциации</v>
      </c>
      <c r="BG62" s="428"/>
      <c r="BH62" s="428"/>
    </row>
    <row r="63" spans="1:60" s="1755" customFormat="1" ht="0" hidden="1" customHeight="1">
      <c r="A63" s="1198"/>
      <c r="B63" s="1198"/>
      <c r="C63" s="1198"/>
      <c r="D63" s="1198"/>
      <c r="E63" s="1226"/>
      <c r="F63" s="1198"/>
      <c r="G63" s="1198"/>
      <c r="H63" s="1198"/>
      <c r="I63" s="1198"/>
      <c r="J63" s="1198"/>
      <c r="K63" s="1198"/>
      <c r="L63" s="1354"/>
      <c r="M63" s="1205"/>
      <c r="N63" s="1205"/>
      <c r="P63" s="1200"/>
      <c r="Q63" s="1201"/>
      <c r="R63" s="1200"/>
      <c r="S63" s="1206"/>
      <c r="T63" s="1209" t="s">
        <v>1441</v>
      </c>
      <c r="U63" s="1208"/>
      <c r="V63" s="1208"/>
      <c r="W63" s="1208"/>
      <c r="X63" s="1208"/>
      <c r="Y63" s="1208"/>
      <c r="Z63" s="1208"/>
      <c r="AA63" s="1208"/>
      <c r="AB63" s="1208"/>
      <c r="AC63" s="1208"/>
      <c r="AD63" s="1208"/>
      <c r="AE63" s="1208"/>
      <c r="AF63" s="1208"/>
      <c r="AG63" s="1208"/>
      <c r="AH63" s="1208"/>
      <c r="AI63" s="1208"/>
      <c r="AJ63" s="1208"/>
      <c r="AK63" s="1208"/>
      <c r="AL63" s="1208"/>
      <c r="AM63" s="1208"/>
      <c r="AN63" s="1208"/>
      <c r="AO63" s="1208"/>
      <c r="AP63" s="1208"/>
      <c r="AQ63" s="1208"/>
      <c r="AR63" s="1208"/>
      <c r="AS63" s="1208"/>
      <c r="AT63" s="1208"/>
      <c r="AU63" s="1208"/>
      <c r="AV63" s="1208"/>
      <c r="AW63" s="1208"/>
      <c r="AX63" s="1208"/>
      <c r="AY63" s="1208"/>
      <c r="AZ63" s="1208"/>
      <c r="BA63" s="1208"/>
      <c r="BB63" s="1208"/>
      <c r="BC63" s="1208"/>
      <c r="BE63" s="695"/>
      <c r="BF63" s="695" t="str">
        <f t="shared" si="4"/>
        <v>Добавить наименование тарифа</v>
      </c>
      <c r="BG63" s="695"/>
      <c r="BH63" s="695"/>
    </row>
    <row r="64" spans="1:60" ht="11.25" hidden="1" customHeight="1">
      <c r="M64" s="1034"/>
      <c r="N64" s="1034"/>
      <c r="O64" s="464"/>
      <c r="P64" s="1034"/>
      <c r="Q64" s="1034"/>
      <c r="R64" s="1029"/>
      <c r="S64" s="1029"/>
      <c r="BD64" s="1029"/>
      <c r="BE64" s="1029"/>
      <c r="BF64" s="1029"/>
      <c r="BG64" s="1029"/>
      <c r="BH64" s="1029"/>
    </row>
    <row r="65" spans="15:55" ht="18.75" hidden="1" customHeight="1">
      <c r="O65" s="464"/>
      <c r="S65" s="1126" t="s">
        <v>1511</v>
      </c>
      <c r="T65" s="2220" t="s">
        <v>1713</v>
      </c>
      <c r="U65" s="2220"/>
      <c r="V65" s="2220"/>
      <c r="W65" s="2220"/>
      <c r="X65" s="2220"/>
      <c r="Y65" s="2220"/>
      <c r="Z65" s="2220"/>
      <c r="AA65" s="2220"/>
      <c r="AB65" s="2220"/>
      <c r="AC65" s="2220"/>
      <c r="AD65" s="2220"/>
      <c r="AE65" s="2220"/>
      <c r="AF65" s="2220"/>
      <c r="AG65" s="2220"/>
      <c r="AH65" s="2220"/>
      <c r="AI65" s="2220"/>
      <c r="AJ65" s="2220"/>
      <c r="AK65" s="2220"/>
      <c r="AL65" s="2220"/>
      <c r="AM65" s="2220"/>
      <c r="AN65" s="2220"/>
      <c r="AO65" s="2220"/>
      <c r="AP65" s="2220"/>
      <c r="AQ65" s="2220"/>
      <c r="AR65" s="2220"/>
      <c r="AS65" s="2220"/>
      <c r="AT65" s="2220"/>
      <c r="AU65" s="2220"/>
      <c r="AV65" s="2220"/>
      <c r="AW65" s="2220"/>
      <c r="AX65" s="2220"/>
      <c r="AY65" s="2220"/>
      <c r="AZ65" s="2220"/>
      <c r="BA65" s="2220"/>
      <c r="BB65" s="2220"/>
      <c r="BC65" s="2220"/>
    </row>
    <row r="66" spans="15:55" ht="14.25" hidden="1" customHeight="1">
      <c r="O66" s="464"/>
      <c r="T66" s="1340"/>
      <c r="U66" s="1340"/>
      <c r="V66" s="1340"/>
      <c r="W66" s="1340"/>
      <c r="X66" s="1340"/>
      <c r="Y66" s="1340"/>
      <c r="Z66" s="1340"/>
      <c r="AA66" s="1340"/>
      <c r="AB66" s="1340"/>
      <c r="AC66" s="1340"/>
      <c r="AD66" s="1340"/>
      <c r="AE66" s="1340"/>
      <c r="AF66" s="1340"/>
      <c r="AG66" s="1340"/>
      <c r="AH66" s="1340"/>
      <c r="AI66" s="1340"/>
      <c r="AJ66" s="1340"/>
      <c r="AK66" s="1340"/>
      <c r="AL66" s="1340"/>
      <c r="AM66" s="1340"/>
      <c r="AN66" s="1340"/>
      <c r="AO66" s="1340"/>
      <c r="AP66" s="1340"/>
      <c r="AQ66" s="1340"/>
      <c r="AR66" s="1340"/>
      <c r="AS66" s="1340"/>
      <c r="AT66" s="1340"/>
      <c r="AU66" s="1340"/>
      <c r="AV66" s="1340"/>
      <c r="AW66" s="1340"/>
      <c r="AX66" s="1340"/>
      <c r="AY66" s="1340"/>
      <c r="AZ66" s="1340"/>
      <c r="BA66" s="1340"/>
      <c r="BB66" s="1340"/>
      <c r="BC66" s="1340"/>
    </row>
    <row r="67" spans="15:55" ht="18.75" hidden="1" customHeight="1">
      <c r="O67" s="464"/>
      <c r="S67" s="1126" t="s">
        <v>1511</v>
      </c>
      <c r="T67" s="2220" t="s">
        <v>1677</v>
      </c>
      <c r="U67" s="2220"/>
      <c r="V67" s="2220"/>
      <c r="W67" s="2220"/>
      <c r="X67" s="2220"/>
      <c r="Y67" s="2220"/>
      <c r="Z67" s="2220"/>
      <c r="AA67" s="2220"/>
      <c r="AB67" s="2220"/>
      <c r="AC67" s="2220"/>
      <c r="AD67" s="2220"/>
      <c r="AE67" s="2220"/>
      <c r="AF67" s="2220"/>
      <c r="AG67" s="2220"/>
      <c r="AH67" s="2220"/>
      <c r="AI67" s="2220"/>
      <c r="AJ67" s="2220"/>
      <c r="AK67" s="2220"/>
      <c r="AL67" s="2220"/>
      <c r="AM67" s="2220"/>
      <c r="AN67" s="2220"/>
      <c r="AO67" s="2220"/>
      <c r="AP67" s="2220"/>
      <c r="AQ67" s="2220"/>
      <c r="AR67" s="2220"/>
      <c r="AS67" s="2220"/>
      <c r="AT67" s="2220"/>
      <c r="AU67" s="2220"/>
      <c r="AV67" s="2220"/>
      <c r="AW67" s="2220"/>
      <c r="AX67" s="2220"/>
      <c r="AY67" s="2220"/>
      <c r="AZ67" s="2220"/>
      <c r="BA67" s="2220"/>
      <c r="BB67" s="2220"/>
      <c r="BC67" s="2220"/>
    </row>
    <row r="68" spans="15:55" ht="14.25" customHeight="1">
      <c r="O68" s="464"/>
    </row>
  </sheetData>
  <sheetProtection formatColumns="0" formatRows="0" insertRows="0" deleteColumns="0" deleteRows="0" sort="0" autoFilter="0"/>
  <mergeCells count="122">
    <mergeCell ref="E2:E18"/>
    <mergeCell ref="V2:AC2"/>
    <mergeCell ref="AD2:BB2"/>
    <mergeCell ref="F3:F17"/>
    <mergeCell ref="V3:AC3"/>
    <mergeCell ref="AD3:BB3"/>
    <mergeCell ref="G4:G16"/>
    <mergeCell ref="V4:AC4"/>
    <mergeCell ref="AD4:BB4"/>
    <mergeCell ref="H5:H15"/>
    <mergeCell ref="V5:AC5"/>
    <mergeCell ref="AD5:BB5"/>
    <mergeCell ref="I6:I14"/>
    <mergeCell ref="P6:P14"/>
    <mergeCell ref="V6:AC6"/>
    <mergeCell ref="AD6:BB6"/>
    <mergeCell ref="J7:J13"/>
    <mergeCell ref="Q7:Q13"/>
    <mergeCell ref="V7:AC7"/>
    <mergeCell ref="AD7:BB7"/>
    <mergeCell ref="BC8:BC13"/>
    <mergeCell ref="AF8:AF11"/>
    <mergeCell ref="AG8:AG11"/>
    <mergeCell ref="AH8:AH11"/>
    <mergeCell ref="AI8:AI10"/>
    <mergeCell ref="AJ8:AJ10"/>
    <mergeCell ref="AK8:AK10"/>
    <mergeCell ref="K8:K12"/>
    <mergeCell ref="R8:R12"/>
    <mergeCell ref="S8:S12"/>
    <mergeCell ref="T8:T12"/>
    <mergeCell ref="AD8:AD12"/>
    <mergeCell ref="AE8:AE11"/>
    <mergeCell ref="S28:AZ28"/>
    <mergeCell ref="S29:AZ29"/>
    <mergeCell ref="S31:T31"/>
    <mergeCell ref="V31:AB31"/>
    <mergeCell ref="AD31:AZ31"/>
    <mergeCell ref="S32:T32"/>
    <mergeCell ref="V32:AB32"/>
    <mergeCell ref="AD32:AZ32"/>
    <mergeCell ref="AL8:AL10"/>
    <mergeCell ref="AM8:AM9"/>
    <mergeCell ref="AN8:AN9"/>
    <mergeCell ref="AO8:AO9"/>
    <mergeCell ref="AP8:AP9"/>
    <mergeCell ref="S36:T36"/>
    <mergeCell ref="V36:AB36"/>
    <mergeCell ref="AD36:AZ36"/>
    <mergeCell ref="S37:T37"/>
    <mergeCell ref="V37:AB37"/>
    <mergeCell ref="AD37:AZ37"/>
    <mergeCell ref="S33:T33"/>
    <mergeCell ref="V33:AB33"/>
    <mergeCell ref="AD33:AZ33"/>
    <mergeCell ref="S34:T34"/>
    <mergeCell ref="V34:AB34"/>
    <mergeCell ref="AD34:AZ34"/>
    <mergeCell ref="V39:AC39"/>
    <mergeCell ref="AD39:BA39"/>
    <mergeCell ref="S40:BB40"/>
    <mergeCell ref="BC40:BC44"/>
    <mergeCell ref="S41:S44"/>
    <mergeCell ref="T41:T44"/>
    <mergeCell ref="V41:AB41"/>
    <mergeCell ref="AC41:AC44"/>
    <mergeCell ref="AD41:AG44"/>
    <mergeCell ref="AH41:AK44"/>
    <mergeCell ref="AX42:AZ43"/>
    <mergeCell ref="AA44:AB44"/>
    <mergeCell ref="AY44:AZ44"/>
    <mergeCell ref="AA45:AB45"/>
    <mergeCell ref="AY45:AZ45"/>
    <mergeCell ref="E46:E62"/>
    <mergeCell ref="V46:AC46"/>
    <mergeCell ref="AD46:BB46"/>
    <mergeCell ref="F47:F61"/>
    <mergeCell ref="V47:AC47"/>
    <mergeCell ref="AL41:AO44"/>
    <mergeCell ref="AP41:AS44"/>
    <mergeCell ref="AT41:AZ41"/>
    <mergeCell ref="BA41:BA44"/>
    <mergeCell ref="BB41:BB44"/>
    <mergeCell ref="V42:W43"/>
    <mergeCell ref="X42:Y43"/>
    <mergeCell ref="Z42:AB43"/>
    <mergeCell ref="AT42:AU43"/>
    <mergeCell ref="AV42:AW43"/>
    <mergeCell ref="AD47:BB47"/>
    <mergeCell ref="G48:G60"/>
    <mergeCell ref="V48:AC48"/>
    <mergeCell ref="AD48:BB48"/>
    <mergeCell ref="H49:H59"/>
    <mergeCell ref="V49:AC49"/>
    <mergeCell ref="AD49:BB49"/>
    <mergeCell ref="I50:I58"/>
    <mergeCell ref="P50:P58"/>
    <mergeCell ref="V50:AC50"/>
    <mergeCell ref="AD50:BB50"/>
    <mergeCell ref="J51:J57"/>
    <mergeCell ref="Q51:Q57"/>
    <mergeCell ref="V51:AC51"/>
    <mergeCell ref="AD51:BB51"/>
    <mergeCell ref="K52:K56"/>
    <mergeCell ref="S52:S56"/>
    <mergeCell ref="T52:T56"/>
    <mergeCell ref="AD52:AD56"/>
    <mergeCell ref="AE52:AE55"/>
    <mergeCell ref="T65:BC65"/>
    <mergeCell ref="T67:BC67"/>
    <mergeCell ref="AL52:AL54"/>
    <mergeCell ref="AM52:AM53"/>
    <mergeCell ref="AN52:AN53"/>
    <mergeCell ref="AO52:AO53"/>
    <mergeCell ref="AP52:AP53"/>
    <mergeCell ref="BC52:BC57"/>
    <mergeCell ref="AF52:AF55"/>
    <mergeCell ref="AG52:AG55"/>
    <mergeCell ref="AH52:AH55"/>
    <mergeCell ref="AI52:AI54"/>
    <mergeCell ref="AJ52:AJ54"/>
    <mergeCell ref="AK52:AK54"/>
  </mergeCells>
  <dataValidations count="9">
    <dataValidation allowBlank="1" sqref="S65591:BC65597 S983095:BC983101 S917559:BC917565 S852023:BC852029 S786487:BC786493 S720951:BC720957 S655415:BC655421 S589879:BC589885 S524343:BC524349 S458807:BC458813 S393271:BC393277 S327735:BC327741 S262199:BC262205 S196663:BC196669 S131127:BC131133"/>
    <dataValidation type="list" allowBlank="1" showInputMessage="1" errorTitle="Ошибка" error="Выберите значение из списка" prompt="Выберите значение из списка" sqref="V983092:BB983092 V917556:BB917556 V852020:BB852020 V786484:BB786484 V720948:BB720948 V655412:BB655412 V589876:BB589876 V524340:BB524340 V458804:BB458804 V393268:BB393268 V327732:BB327732 V262196:BB262196 V196660:BB196660 V131124:BB131124 V65588:BB65588">
      <formula1>kind_of_cons</formula1>
    </dataValidation>
    <dataValidation type="decimal" allowBlank="1" showErrorMessage="1" errorTitle="Ошибка" error="Допускается ввод только действительных чисел!" sqref="AO52:AO53 AG8:AG11 AO8:AO9 AG52:AG55">
      <formula1>-9.99999999999999E+23</formula1>
      <formula2>9.99999999999999E+23</formula2>
    </dataValidation>
    <dataValidation allowBlank="1" showInputMessage="1" showErrorMessage="1" prompt="Для выбора выполните двойной щелчок левой клавиши мыши по соответствующей ячейке." sqref="AA65589 AA131125 AA196661 AA262197 AA327733 AA393269 AA458805 AA524341 AA589877 AA655413 AA720949 AA786485 AA852021 AA917557 AA983093 AC131125 AC458805 AC196661 AC262197 AC327733 AC393269 AC524341 AC589877 AC655413 AC720949 AC786485 AC852021 AC917557 AC983093 AC65589 AH52:AH53 AY8 AP52 AK52:AL53 AA8 AY65589 AY131125 AY196661 AY262197 AY327733 AY393269 AY458805 AY524341 AY589877 AY655413 AY720949 AY786485 AY852021 AY917557 AY983093 BA458805 BA196661 BA262197 BA327733 BA393269 BA524341 BA589877 BA655413 BA720949 BA786485 BA852021 BA917557 BA983093 BA65589 BA52 AC8:AD8 BA20 BA8 AY52 AK8:AL9 AD20 AG20:AH20 AK20:AL20 AP20 AY20 AH8:AH9 AP8 BA131125 AC52:AD52 AA52"/>
    <dataValidation type="textLength" operator="lessThanOrEqual" allowBlank="1" showInputMessage="1" showErrorMessage="1" errorTitle="Ошибка" error="Допускается ввод не более 900 символов!" sqref="BC65583:BC65590 BC131119:BC131126 BC196655:BC196662 BC262191:BC262198 BC327727:BC327734 BC393263:BC393270 BC458799:BC458806 BC524335:BC524342 BC589871:BC589878 BC655407:BC655414 BC720943:BC720950 BC786479:BC786486 BC852015:BC852022 BC917551:BC917558 BC983087:BC983094 AS8 T8:T12 AS52 T52:T56">
      <formula1>900</formula1>
    </dataValidation>
    <dataValidation allowBlank="1" promptTitle="checkPeriodRange" sqref="W131126 W196662 W262198 W327734 W393270 W458806 W524342 W589878 W655414 W720950 W786486 W852022 W917558 W983094 AW56 AU12 BB12 AW65590 AW131126 AW196662 AW262198 AW327734 AW393270 AW458806 AW524342 AW589878 AW655414 AW720950 AW786486 AW852022 AW917558 AW983094 Y65590 Y56 W65590 Y131126 Y196662 Y262198 Y327734 Y393270 Y458806 Y524342 Y589878 Y655414 Y720950 Y786486 Y852022 Y917558 Y983094 AU56 Y12 BB56 W12 AW12 W56"/>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9 Z131125 Z196661 Z262197 Z327733 Z393269 Z458805 Z524341 Z589877 Z655413 Z720949 Z786485 Z852021 Z917557 Z983093 AB65589 AB131125 AB196661 AB262197 AB327733 AB393269 AB458805 AB524341 AB589877 AB655413 AB720949 AB786485 AB852021 AB917557 AB983093 Z8 AB8 AX65589 AX131125 AX196661 AX262197 AX327733 AX393269 AX458805 AX524341 AX589877 AX655413 AX720949 AX786485 AX852021 AX917557 AX983093 AZ65589 AZ131125 AZ196661 AZ262197 AZ327733 AZ393269 AZ458805 AZ524341 AZ589877 AZ655413 AZ720949 AZ786485 AZ852021 AZ917557 AZ983093 AX52 AX20 AZ8 AZ52 AX8 AZ20 Z52 AB52"/>
    <dataValidation type="list" allowBlank="1" showInputMessage="1" showErrorMessage="1" errorTitle="Ошибка" error="Выберите значение из списка" sqref="AD917555:AS917555 AD983091:AS983091 AD65587:AS65587 AD131123:AS131123 AD196659:AS196659 AD262195:AS262195 AD327731:AS327731 AD393267:AS393267 AD458803:AS458803 AD524339:AS524339 AD589875:AS589875 AD655411:AS655411 AD720947:AS720947 AD786483:AS786483 AD852019:AS852019">
      <formula1>kind_of_scheme_in</formula1>
    </dataValidation>
    <dataValidation type="list" allowBlank="1" showInputMessage="1" showErrorMessage="1" errorTitle="Ошибка" error="Выберите значение из списка" sqref="T65589 T131125 T196661 T262197 T327733 T393269 T458805 T524341 T589877 T655413 T720949 T786485 T852021 T917557 T983093">
      <formula1>kind_of_heat_transfer</formula1>
    </dataValidation>
  </dataValidation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C99"/>
  </sheetPr>
  <dimension ref="A1"/>
  <sheetViews>
    <sheetView showGridLines="0" workbookViewId="0"/>
  </sheetViews>
  <sheetFormatPr defaultRowHeight="11.25" customHeight="1"/>
  <sheetData/>
  <sheetProtection insertRows="0" deleteColumns="0" deleteRows="0" sort="0" autoFilter="0"/>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C99"/>
  </sheetPr>
  <dimension ref="A1"/>
  <sheetViews>
    <sheetView showGridLines="0" workbookViewId="0"/>
  </sheetViews>
  <sheetFormatPr defaultRowHeight="11.25" customHeight="1"/>
  <sheetData/>
  <sheetProtection insertRows="0" deleteColumns="0" deleteRows="0" sort="0" autoFilter="0"/>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C99"/>
  </sheetPr>
  <dimension ref="A1"/>
  <sheetViews>
    <sheetView showGridLines="0" workbookViewId="0"/>
  </sheetViews>
  <sheetFormatPr defaultRowHeight="11.25" customHeight="1"/>
  <sheetData/>
  <sheetProtection insertRows="0" deleteColumns="0" deleteRows="0" sort="0" autoFilter="0"/>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5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C99"/>
  </sheetPr>
  <dimension ref="A1"/>
  <sheetViews>
    <sheetView showGridLines="0" workbookViewId="0"/>
  </sheetViews>
  <sheetFormatPr defaultRowHeight="11.25" customHeight="1"/>
  <sheetData/>
  <sheetProtection insertRows="0" deleteColumns="0" deleteRows="0" sort="0" autoFilter="0"/>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5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C99"/>
  </sheetPr>
  <dimension ref="A1"/>
  <sheetViews>
    <sheetView showGridLines="0" workbookViewId="0"/>
  </sheetViews>
  <sheetFormatPr defaultRowHeight="11.25" customHeight="1"/>
  <sheetData/>
  <sheetProtection insertRows="0" deleteColumns="0" deleteRows="0" sort="0" autoFilter="0"/>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CCCCFF"/>
  </sheetPr>
  <dimension ref="A1:BL49"/>
  <sheetViews>
    <sheetView showGridLines="0" topLeftCell="C3" zoomScale="90" workbookViewId="0"/>
  </sheetViews>
  <sheetFormatPr defaultColWidth="9.140625" defaultRowHeight="11.25" customHeight="1"/>
  <cols>
    <col min="1" max="2" width="9.140625" style="1969" hidden="1"/>
    <col min="3" max="4" width="3.7109375" style="1969" customWidth="1"/>
    <col min="5" max="6" width="16" style="1969" customWidth="1"/>
    <col min="7" max="7" width="11.5703125" style="1969" customWidth="1"/>
    <col min="8" max="9" width="3.7109375" style="1969" customWidth="1"/>
    <col min="10" max="10" width="13.140625" style="1969" customWidth="1"/>
    <col min="11" max="11" width="0.28515625" style="1969" customWidth="1"/>
    <col min="12" max="13" width="10.7109375" style="1969" customWidth="1"/>
    <col min="14" max="15" width="3.7109375" style="1969" customWidth="1"/>
    <col min="16" max="16" width="19.7109375" style="1969" customWidth="1"/>
    <col min="17" max="17" width="0.28515625" style="1969" customWidth="1"/>
    <col min="18" max="19" width="10.7109375" style="1969" customWidth="1"/>
    <col min="20" max="21" width="3.7109375" style="1969" customWidth="1"/>
    <col min="22" max="22" width="25.7109375" style="1969" customWidth="1"/>
    <col min="23" max="23" width="0.28515625" style="1969" customWidth="1"/>
    <col min="24" max="25" width="10.7109375" style="1969" customWidth="1"/>
    <col min="26" max="27" width="3.7109375" style="1969" customWidth="1"/>
    <col min="28" max="28" width="16.42578125" style="1969" customWidth="1"/>
    <col min="29" max="29" width="0.28515625" style="1969" customWidth="1"/>
    <col min="30" max="31" width="10.7109375" style="1969" customWidth="1"/>
    <col min="32" max="33" width="3.7109375" style="1969" customWidth="1"/>
    <col min="34" max="34" width="8.7109375" style="1969" customWidth="1"/>
    <col min="35" max="35" width="21.7109375" style="1969" customWidth="1"/>
    <col min="36" max="36" width="9.140625" style="1969"/>
    <col min="37" max="37" width="9.140625" style="1722"/>
    <col min="38" max="64" width="9.140625" style="1969"/>
  </cols>
  <sheetData>
    <row r="1" spans="1:64" s="1758" customFormat="1" ht="11.25" hidden="1" customHeight="1">
      <c r="AJ1" s="356"/>
      <c r="AK1" s="356"/>
      <c r="AL1" s="356"/>
      <c r="AM1" s="356"/>
      <c r="AN1" s="356"/>
      <c r="AO1" s="356"/>
      <c r="AP1" s="356"/>
      <c r="AQ1" s="356"/>
      <c r="AR1" s="356"/>
      <c r="AS1" s="356"/>
      <c r="AT1" s="356"/>
      <c r="AU1" s="356"/>
      <c r="AV1" s="356"/>
      <c r="AW1" s="356"/>
      <c r="AX1" s="356"/>
      <c r="AY1" s="356"/>
      <c r="AZ1" s="356"/>
      <c r="BA1" s="356"/>
      <c r="BB1" s="356"/>
      <c r="BC1" s="356"/>
      <c r="BD1" s="356"/>
      <c r="BE1" s="356"/>
      <c r="BF1" s="356"/>
      <c r="BG1" s="356"/>
      <c r="BH1" s="356"/>
      <c r="BI1" s="356"/>
      <c r="BJ1" s="356"/>
      <c r="BK1" s="356"/>
      <c r="BL1" s="356"/>
    </row>
    <row r="2" spans="1:64" s="1638" customFormat="1" ht="11.25" hidden="1" customHeight="1">
      <c r="L2" s="1424" t="s">
        <v>271</v>
      </c>
      <c r="M2" s="1424" t="s">
        <v>272</v>
      </c>
      <c r="R2" s="1424" t="s">
        <v>273</v>
      </c>
      <c r="S2" s="1424" t="s">
        <v>272</v>
      </c>
      <c r="X2" s="1424" t="s">
        <v>271</v>
      </c>
      <c r="Y2" s="1424" t="s">
        <v>272</v>
      </c>
      <c r="AD2" s="1424" t="s">
        <v>271</v>
      </c>
      <c r="AE2" s="1424" t="s">
        <v>272</v>
      </c>
      <c r="AJ2" s="1440"/>
      <c r="AK2" s="1440"/>
      <c r="AL2" s="1440"/>
      <c r="AM2" s="1440"/>
      <c r="AN2" s="1440"/>
      <c r="AO2" s="1440"/>
      <c r="AP2" s="1440"/>
      <c r="AQ2" s="1440"/>
      <c r="AR2" s="1440"/>
      <c r="AS2" s="1440"/>
      <c r="AT2" s="1440"/>
      <c r="AU2" s="1440"/>
      <c r="AV2" s="1440"/>
      <c r="AW2" s="1440"/>
      <c r="AX2" s="1440"/>
      <c r="AY2" s="1440"/>
      <c r="AZ2" s="1440"/>
      <c r="BA2" s="1440"/>
      <c r="BB2" s="1440"/>
      <c r="BC2" s="1440"/>
      <c r="BD2" s="1440"/>
      <c r="BE2" s="1440"/>
      <c r="BF2" s="1440"/>
      <c r="BG2" s="1440"/>
      <c r="BH2" s="1440"/>
      <c r="BI2" s="1440"/>
      <c r="BJ2" s="1440"/>
      <c r="BK2" s="1440"/>
      <c r="BL2" s="1440"/>
    </row>
    <row r="3" spans="1:64" s="1639" customFormat="1" ht="11.25" customHeight="1">
      <c r="AJ3" s="1439"/>
      <c r="AK3" s="225"/>
      <c r="AL3" s="1439"/>
      <c r="AM3" s="1439"/>
      <c r="AN3" s="1439"/>
      <c r="AO3" s="1439"/>
      <c r="AP3" s="1439"/>
      <c r="AQ3" s="1439"/>
      <c r="AR3" s="1439"/>
      <c r="AS3" s="1439"/>
      <c r="AT3" s="1439"/>
      <c r="AU3" s="1439"/>
      <c r="AV3" s="1439"/>
      <c r="AW3" s="1439"/>
      <c r="AX3" s="1439"/>
      <c r="AY3" s="1439"/>
      <c r="AZ3" s="1439"/>
      <c r="BA3" s="1439"/>
      <c r="BB3" s="1439"/>
      <c r="BC3" s="1439"/>
      <c r="BD3" s="1439"/>
      <c r="BE3" s="1439"/>
      <c r="BF3" s="1439"/>
      <c r="BG3" s="1439"/>
      <c r="BH3" s="1439"/>
      <c r="BI3" s="1439"/>
      <c r="BJ3" s="1439"/>
      <c r="BK3" s="1439"/>
      <c r="BL3" s="1439"/>
    </row>
    <row r="4" spans="1:64" s="1648" customFormat="1" ht="33" customHeight="1">
      <c r="A4" s="1030"/>
      <c r="B4" s="1029"/>
      <c r="C4" s="1377"/>
      <c r="D4" s="2065" t="s">
        <v>274</v>
      </c>
      <c r="E4" s="2065"/>
      <c r="F4" s="2065"/>
      <c r="G4" s="2065"/>
      <c r="H4" s="2065"/>
      <c r="I4" s="2065"/>
      <c r="J4" s="2065"/>
      <c r="K4" s="613"/>
      <c r="T4" s="1425"/>
      <c r="AJ4" s="1441"/>
      <c r="AK4" s="1442"/>
      <c r="AL4" s="1441"/>
      <c r="AM4" s="1441"/>
      <c r="AN4" s="1441"/>
      <c r="AO4" s="1441"/>
      <c r="AP4" s="1441"/>
      <c r="AQ4" s="1441"/>
      <c r="AR4" s="1441"/>
      <c r="AS4" s="1441"/>
      <c r="AT4" s="1441"/>
      <c r="AU4" s="1441"/>
      <c r="AV4" s="1441"/>
      <c r="AW4" s="1441"/>
      <c r="AX4" s="1441"/>
      <c r="AY4" s="1441"/>
      <c r="AZ4" s="1441"/>
      <c r="BA4" s="1441"/>
      <c r="BB4" s="1441"/>
      <c r="BC4" s="1441"/>
      <c r="BD4" s="1441"/>
      <c r="BE4" s="1441"/>
      <c r="BF4" s="1441"/>
      <c r="BG4" s="1441"/>
      <c r="BH4" s="1441"/>
      <c r="BI4" s="1441"/>
      <c r="BJ4" s="1441"/>
      <c r="BK4" s="1441"/>
      <c r="BL4" s="1441"/>
    </row>
    <row r="5" spans="1:64" s="1648" customFormat="1" ht="14.25" customHeight="1">
      <c r="A5" s="1491"/>
      <c r="B5" s="1490"/>
      <c r="C5" s="1377"/>
      <c r="D5" s="2088" t="str">
        <f>IF(org=0,"Не определено",org)</f>
        <v>МУП г. Астрахани "Коммунэнерго"</v>
      </c>
      <c r="E5" s="2088"/>
      <c r="F5" s="2088"/>
      <c r="G5" s="2088"/>
      <c r="H5" s="2088"/>
      <c r="I5" s="2088"/>
      <c r="J5" s="2088"/>
      <c r="K5" s="613"/>
      <c r="T5" s="1425"/>
      <c r="AJ5" s="1441"/>
      <c r="AK5" s="1442"/>
      <c r="AL5" s="1441"/>
      <c r="AM5" s="1441"/>
      <c r="AN5" s="1441"/>
      <c r="AO5" s="1441"/>
      <c r="AP5" s="1441"/>
      <c r="AQ5" s="1441"/>
      <c r="AR5" s="1441"/>
      <c r="AS5" s="1441"/>
      <c r="AT5" s="1441"/>
      <c r="AU5" s="1441"/>
      <c r="AV5" s="1441"/>
      <c r="AW5" s="1441"/>
      <c r="AX5" s="1441"/>
      <c r="AY5" s="1441"/>
      <c r="AZ5" s="1441"/>
      <c r="BA5" s="1441"/>
      <c r="BB5" s="1441"/>
      <c r="BC5" s="1441"/>
      <c r="BD5" s="1441"/>
      <c r="BE5" s="1441"/>
      <c r="BF5" s="1441"/>
      <c r="BG5" s="1441"/>
      <c r="BH5" s="1441"/>
      <c r="BI5" s="1441"/>
      <c r="BJ5" s="1441"/>
      <c r="BK5" s="1441"/>
      <c r="BL5" s="1441"/>
    </row>
    <row r="6" spans="1:64" s="1648" customFormat="1" ht="14.25" customHeight="1">
      <c r="A6" s="1030"/>
      <c r="B6" s="1029"/>
      <c r="C6" s="1377"/>
      <c r="D6" s="613"/>
      <c r="E6" s="613"/>
      <c r="F6" s="613"/>
      <c r="G6" s="613"/>
      <c r="H6" s="613"/>
      <c r="I6" s="613"/>
      <c r="J6" s="613"/>
      <c r="K6" s="613"/>
      <c r="T6" s="1425"/>
      <c r="AJ6" s="1441"/>
      <c r="AK6" s="1442"/>
      <c r="AL6" s="1441"/>
      <c r="AM6" s="1441"/>
      <c r="AN6" s="1441"/>
      <c r="AO6" s="1441"/>
      <c r="AP6" s="1441"/>
      <c r="AQ6" s="1441"/>
      <c r="AR6" s="1441"/>
      <c r="AS6" s="1441"/>
      <c r="AT6" s="1441"/>
      <c r="AU6" s="1441"/>
      <c r="AV6" s="1441"/>
      <c r="AW6" s="1441"/>
      <c r="AX6" s="1441"/>
      <c r="AY6" s="1441"/>
      <c r="AZ6" s="1441"/>
      <c r="BA6" s="1441"/>
      <c r="BB6" s="1441"/>
      <c r="BC6" s="1441"/>
      <c r="BD6" s="1441"/>
      <c r="BE6" s="1441"/>
      <c r="BF6" s="1441"/>
      <c r="BG6" s="1441"/>
      <c r="BH6" s="1441"/>
      <c r="BI6" s="1441"/>
      <c r="BJ6" s="1441"/>
      <c r="BK6" s="1441"/>
      <c r="BL6" s="1441"/>
    </row>
    <row r="7" spans="1:64" s="1758" customFormat="1" ht="0.75" customHeight="1">
      <c r="AJ7" s="356"/>
      <c r="AK7" s="356"/>
      <c r="AL7" s="356"/>
      <c r="AM7" s="356"/>
      <c r="AN7" s="356"/>
      <c r="AO7" s="356"/>
      <c r="AP7" s="356"/>
      <c r="AQ7" s="356"/>
      <c r="AR7" s="356"/>
      <c r="AS7" s="356"/>
      <c r="AT7" s="356"/>
      <c r="AU7" s="356"/>
      <c r="AV7" s="356"/>
      <c r="AW7" s="356"/>
      <c r="AX7" s="356"/>
      <c r="AY7" s="356"/>
      <c r="AZ7" s="356"/>
      <c r="BA7" s="356"/>
      <c r="BB7" s="356"/>
      <c r="BC7" s="356"/>
      <c r="BD7" s="356"/>
      <c r="BE7" s="356"/>
      <c r="BF7" s="356"/>
      <c r="BG7" s="356"/>
      <c r="BH7" s="356"/>
      <c r="BI7" s="356"/>
      <c r="BJ7" s="356"/>
      <c r="BK7" s="356"/>
      <c r="BL7" s="356"/>
    </row>
    <row r="8" spans="1:64" ht="31.5" customHeight="1">
      <c r="D8" s="2007" t="s">
        <v>87</v>
      </c>
      <c r="E8" s="2007" t="s">
        <v>104</v>
      </c>
      <c r="F8" s="2067" t="s">
        <v>123</v>
      </c>
      <c r="G8" s="2068"/>
      <c r="H8" s="2067" t="s">
        <v>87</v>
      </c>
      <c r="I8" s="2068"/>
      <c r="J8" s="2007" t="s">
        <v>124</v>
      </c>
      <c r="K8" s="1426"/>
      <c r="L8" s="2066" t="s">
        <v>275</v>
      </c>
      <c r="M8" s="2066"/>
      <c r="N8" s="2066"/>
      <c r="O8" s="2066"/>
      <c r="P8" s="2066"/>
      <c r="Q8" s="1427"/>
      <c r="R8" s="1989" t="s">
        <v>276</v>
      </c>
      <c r="S8" s="1994"/>
      <c r="T8" s="1994"/>
      <c r="U8" s="1994"/>
      <c r="V8" s="1994"/>
      <c r="W8" s="1427"/>
      <c r="X8" s="2007" t="s">
        <v>277</v>
      </c>
      <c r="Y8" s="2007"/>
      <c r="Z8" s="2007"/>
      <c r="AA8" s="2007"/>
      <c r="AB8" s="2007"/>
      <c r="AC8" s="1428"/>
      <c r="AD8" s="2007" t="s">
        <v>278</v>
      </c>
      <c r="AE8" s="2007"/>
      <c r="AF8" s="2007"/>
      <c r="AG8" s="2007"/>
      <c r="AH8" s="1989"/>
      <c r="AI8" s="2007" t="s">
        <v>279</v>
      </c>
      <c r="AJ8" s="1439"/>
    </row>
    <row r="9" spans="1:64" ht="22.5" customHeight="1">
      <c r="D9" s="2007"/>
      <c r="E9" s="2007"/>
      <c r="F9" s="2066" t="s">
        <v>88</v>
      </c>
      <c r="G9" s="2066" t="s">
        <v>129</v>
      </c>
      <c r="H9" s="2069"/>
      <c r="I9" s="2070"/>
      <c r="J9" s="1989"/>
      <c r="K9" s="1429"/>
      <c r="L9" s="2007" t="s">
        <v>280</v>
      </c>
      <c r="M9" s="1989"/>
      <c r="N9" s="2067" t="s">
        <v>87</v>
      </c>
      <c r="O9" s="2068"/>
      <c r="P9" s="2007" t="s">
        <v>130</v>
      </c>
      <c r="Q9" s="1426"/>
      <c r="R9" s="2007" t="s">
        <v>280</v>
      </c>
      <c r="S9" s="1989"/>
      <c r="T9" s="2067" t="s">
        <v>87</v>
      </c>
      <c r="U9" s="2068"/>
      <c r="V9" s="2007" t="s">
        <v>130</v>
      </c>
      <c r="W9" s="1426"/>
      <c r="X9" s="2007" t="s">
        <v>280</v>
      </c>
      <c r="Y9" s="1989"/>
      <c r="Z9" s="2067" t="s">
        <v>87</v>
      </c>
      <c r="AA9" s="2068"/>
      <c r="AB9" s="2007" t="s">
        <v>281</v>
      </c>
      <c r="AC9" s="1426"/>
      <c r="AD9" s="2007" t="s">
        <v>280</v>
      </c>
      <c r="AE9" s="1989"/>
      <c r="AF9" s="2067" t="s">
        <v>87</v>
      </c>
      <c r="AG9" s="2068"/>
      <c r="AH9" s="1989" t="s">
        <v>281</v>
      </c>
      <c r="AI9" s="2007"/>
      <c r="AJ9" s="1439"/>
    </row>
    <row r="10" spans="1:64" ht="22.5" customHeight="1">
      <c r="D10" s="2066"/>
      <c r="E10" s="2066"/>
      <c r="F10" s="2071"/>
      <c r="G10" s="2071"/>
      <c r="H10" s="2072"/>
      <c r="I10" s="2073"/>
      <c r="J10" s="2067"/>
      <c r="K10" s="1429"/>
      <c r="L10" s="1443" t="s">
        <v>282</v>
      </c>
      <c r="M10" s="1438" t="s">
        <v>283</v>
      </c>
      <c r="N10" s="2069"/>
      <c r="O10" s="2070"/>
      <c r="P10" s="2066"/>
      <c r="Q10" s="1426"/>
      <c r="R10" s="1443" t="s">
        <v>282</v>
      </c>
      <c r="S10" s="1438" t="s">
        <v>283</v>
      </c>
      <c r="T10" s="2069"/>
      <c r="U10" s="2070"/>
      <c r="V10" s="2066"/>
      <c r="W10" s="1426"/>
      <c r="X10" s="1443" t="s">
        <v>282</v>
      </c>
      <c r="Y10" s="1438" t="s">
        <v>283</v>
      </c>
      <c r="Z10" s="2069"/>
      <c r="AA10" s="2070"/>
      <c r="AB10" s="2066"/>
      <c r="AC10" s="1426"/>
      <c r="AD10" s="1443" t="s">
        <v>282</v>
      </c>
      <c r="AE10" s="1438" t="s">
        <v>283</v>
      </c>
      <c r="AF10" s="2069"/>
      <c r="AG10" s="2070"/>
      <c r="AH10" s="2067"/>
      <c r="AI10" s="2066"/>
      <c r="AJ10" s="1439"/>
      <c r="AK10" s="173" t="s">
        <v>284</v>
      </c>
      <c r="AL10" s="173" t="s">
        <v>131</v>
      </c>
    </row>
    <row r="11" spans="1:64" ht="14.25" customHeight="1">
      <c r="D11" s="2074" t="s">
        <v>108</v>
      </c>
      <c r="E11" s="2076" t="s">
        <v>285</v>
      </c>
      <c r="F11" s="2076" t="s">
        <v>286</v>
      </c>
      <c r="G11" s="2079" t="s">
        <v>55</v>
      </c>
      <c r="H11" s="1463"/>
      <c r="I11" s="2081"/>
      <c r="J11" s="2040"/>
      <c r="K11" s="1374"/>
      <c r="L11" s="2025"/>
      <c r="M11" s="2025"/>
      <c r="N11" s="1448"/>
      <c r="O11" s="2025"/>
      <c r="P11" s="2040"/>
      <c r="Q11" s="1449"/>
      <c r="R11" s="2025"/>
      <c r="S11" s="2025"/>
      <c r="T11" s="1450"/>
      <c r="U11" s="2025"/>
      <c r="V11" s="2040"/>
      <c r="W11" s="1451"/>
      <c r="X11" s="2025"/>
      <c r="Y11" s="2025"/>
      <c r="Z11" s="1448"/>
      <c r="AA11" s="2025"/>
      <c r="AB11" s="2040"/>
      <c r="AC11" s="1452"/>
      <c r="AD11" s="2025"/>
      <c r="AE11" s="2025"/>
      <c r="AF11" s="1373"/>
      <c r="AG11" s="1373"/>
      <c r="AH11" s="1453"/>
      <c r="AI11" s="1179"/>
      <c r="AJ11" s="1439"/>
    </row>
    <row r="12" spans="1:64" ht="14.25" customHeight="1">
      <c r="D12" s="2074"/>
      <c r="E12" s="2076"/>
      <c r="F12" s="2076"/>
      <c r="G12" s="2080"/>
      <c r="H12" s="1464"/>
      <c r="I12" s="2082"/>
      <c r="J12" s="2041"/>
      <c r="K12" s="1472"/>
      <c r="L12" s="2026"/>
      <c r="M12" s="2026"/>
      <c r="N12" s="1454"/>
      <c r="O12" s="2026"/>
      <c r="P12" s="2041"/>
      <c r="Q12" s="1455"/>
      <c r="R12" s="2026"/>
      <c r="S12" s="2026"/>
      <c r="T12" s="1456"/>
      <c r="U12" s="2026"/>
      <c r="V12" s="2041"/>
      <c r="W12" s="1457"/>
      <c r="X12" s="2026"/>
      <c r="Y12" s="2026"/>
      <c r="Z12" s="1454"/>
      <c r="AA12" s="2026"/>
      <c r="AB12" s="2041"/>
      <c r="AC12" s="1458"/>
      <c r="AD12" s="2026"/>
      <c r="AE12" s="2026"/>
      <c r="AF12" s="1459"/>
      <c r="AG12" s="1459"/>
      <c r="AH12" s="2085"/>
      <c r="AI12" s="2086"/>
      <c r="AJ12" s="1439"/>
    </row>
    <row r="13" spans="1:64" ht="14.25" customHeight="1">
      <c r="D13" s="2074"/>
      <c r="E13" s="2076"/>
      <c r="F13" s="2076"/>
      <c r="G13" s="2080"/>
      <c r="H13" s="1464"/>
      <c r="I13" s="2082"/>
      <c r="J13" s="2041"/>
      <c r="K13" s="1472"/>
      <c r="L13" s="2026"/>
      <c r="M13" s="2026"/>
      <c r="N13" s="1454"/>
      <c r="O13" s="2026"/>
      <c r="P13" s="2041"/>
      <c r="Q13" s="1455"/>
      <c r="R13" s="2026"/>
      <c r="S13" s="2026"/>
      <c r="T13" s="1456"/>
      <c r="U13" s="2026"/>
      <c r="V13" s="2041"/>
      <c r="W13" s="1457"/>
      <c r="X13" s="2026"/>
      <c r="Y13" s="2026"/>
      <c r="Z13" s="1372"/>
      <c r="AA13" s="1459"/>
      <c r="AB13" s="2085"/>
      <c r="AC13" s="2085"/>
      <c r="AD13" s="2085"/>
      <c r="AE13" s="2085"/>
      <c r="AF13" s="2085"/>
      <c r="AG13" s="2085"/>
      <c r="AH13" s="2085"/>
      <c r="AI13" s="2086"/>
      <c r="AJ13" s="1439"/>
    </row>
    <row r="14" spans="1:64" ht="14.25" customHeight="1">
      <c r="D14" s="2074"/>
      <c r="E14" s="2076"/>
      <c r="F14" s="2076"/>
      <c r="G14" s="2080"/>
      <c r="H14" s="1464"/>
      <c r="I14" s="2082"/>
      <c r="J14" s="2041"/>
      <c r="K14" s="1472"/>
      <c r="L14" s="2026"/>
      <c r="M14" s="2026"/>
      <c r="N14" s="1454"/>
      <c r="O14" s="2026"/>
      <c r="P14" s="2041"/>
      <c r="Q14" s="1455"/>
      <c r="R14" s="2026"/>
      <c r="S14" s="2026"/>
      <c r="T14" s="1460"/>
      <c r="U14" s="1461"/>
      <c r="V14" s="2085"/>
      <c r="W14" s="2085"/>
      <c r="X14" s="2085"/>
      <c r="Y14" s="2085"/>
      <c r="Z14" s="2085"/>
      <c r="AA14" s="2085"/>
      <c r="AB14" s="2085"/>
      <c r="AC14" s="2085"/>
      <c r="AD14" s="2085"/>
      <c r="AE14" s="2085"/>
      <c r="AF14" s="2085"/>
      <c r="AG14" s="2085"/>
      <c r="AH14" s="2085"/>
      <c r="AI14" s="2086"/>
      <c r="AJ14" s="1439"/>
    </row>
    <row r="15" spans="1:64" ht="11.25" customHeight="1">
      <c r="D15" s="2074"/>
      <c r="E15" s="2076"/>
      <c r="F15" s="2076"/>
      <c r="G15" s="2080"/>
      <c r="H15" s="1465"/>
      <c r="I15" s="2082"/>
      <c r="J15" s="2041"/>
      <c r="K15" s="1472"/>
      <c r="L15" s="2026"/>
      <c r="M15" s="2026"/>
      <c r="N15" s="1459"/>
      <c r="O15" s="1459"/>
      <c r="P15" s="2085"/>
      <c r="Q15" s="2085"/>
      <c r="R15" s="2085"/>
      <c r="S15" s="2085"/>
      <c r="T15" s="2085"/>
      <c r="U15" s="2085"/>
      <c r="V15" s="2085"/>
      <c r="W15" s="2085"/>
      <c r="X15" s="2085"/>
      <c r="Y15" s="2085"/>
      <c r="Z15" s="2085"/>
      <c r="AA15" s="2085"/>
      <c r="AB15" s="2085"/>
      <c r="AC15" s="2085"/>
      <c r="AD15" s="2085"/>
      <c r="AE15" s="2085"/>
      <c r="AF15" s="2085"/>
      <c r="AG15" s="2085"/>
      <c r="AH15" s="2085"/>
      <c r="AI15" s="2086"/>
      <c r="AJ15" s="1439"/>
    </row>
    <row r="16" spans="1:64" s="1639" customFormat="1" ht="11.25" customHeight="1">
      <c r="D16" s="2075"/>
      <c r="E16" s="2077"/>
      <c r="F16" s="2078"/>
      <c r="G16" s="2022"/>
      <c r="H16" s="1462"/>
      <c r="I16" s="1466"/>
      <c r="J16" s="2083"/>
      <c r="K16" s="2083"/>
      <c r="L16" s="2083"/>
      <c r="M16" s="2083"/>
      <c r="N16" s="2083"/>
      <c r="O16" s="2083"/>
      <c r="P16" s="2083"/>
      <c r="Q16" s="2083"/>
      <c r="R16" s="2083"/>
      <c r="S16" s="2083"/>
      <c r="T16" s="2083"/>
      <c r="U16" s="2083"/>
      <c r="V16" s="2083"/>
      <c r="W16" s="2083"/>
      <c r="X16" s="2083"/>
      <c r="Y16" s="2083"/>
      <c r="Z16" s="2083"/>
      <c r="AA16" s="2083"/>
      <c r="AB16" s="2083"/>
      <c r="AC16" s="2083"/>
      <c r="AD16" s="2083"/>
      <c r="AE16" s="2083"/>
      <c r="AF16" s="2083"/>
      <c r="AG16" s="2083"/>
      <c r="AH16" s="2083"/>
      <c r="AI16" s="2084"/>
      <c r="AJ16" s="1439"/>
      <c r="AK16" s="225"/>
      <c r="AL16" s="1439"/>
      <c r="AM16" s="1439"/>
      <c r="AN16" s="1439"/>
      <c r="AO16" s="1439"/>
      <c r="AP16" s="1439"/>
      <c r="AQ16" s="1439"/>
      <c r="AR16" s="1439"/>
      <c r="AS16" s="1439"/>
      <c r="AT16" s="1439"/>
      <c r="AU16" s="1439"/>
      <c r="AV16" s="1439"/>
      <c r="AW16" s="1439"/>
      <c r="AX16" s="1439"/>
      <c r="AY16" s="1439"/>
      <c r="AZ16" s="1439"/>
      <c r="BA16" s="1439"/>
      <c r="BB16" s="1439"/>
      <c r="BC16" s="1439"/>
      <c r="BD16" s="1439"/>
      <c r="BE16" s="1439"/>
      <c r="BF16" s="1439"/>
      <c r="BG16" s="1439"/>
      <c r="BH16" s="1439"/>
      <c r="BI16" s="1439"/>
      <c r="BJ16" s="1439"/>
      <c r="BK16" s="1439"/>
      <c r="BL16" s="1439"/>
    </row>
    <row r="17" spans="4:64" ht="14.25" customHeight="1">
      <c r="D17" s="2074" t="s">
        <v>109</v>
      </c>
      <c r="E17" s="2076" t="s">
        <v>285</v>
      </c>
      <c r="F17" s="2076" t="s">
        <v>287</v>
      </c>
      <c r="G17" s="2079" t="s">
        <v>55</v>
      </c>
      <c r="H17" s="1463"/>
      <c r="I17" s="2081"/>
      <c r="J17" s="2040"/>
      <c r="K17" s="1374"/>
      <c r="L17" s="2025"/>
      <c r="M17" s="2025"/>
      <c r="N17" s="1448"/>
      <c r="O17" s="2025"/>
      <c r="P17" s="2040"/>
      <c r="Q17" s="1449"/>
      <c r="R17" s="2025"/>
      <c r="S17" s="2025"/>
      <c r="T17" s="1450"/>
      <c r="U17" s="2025"/>
      <c r="V17" s="2040"/>
      <c r="W17" s="1451"/>
      <c r="X17" s="2025"/>
      <c r="Y17" s="2025"/>
      <c r="Z17" s="1448"/>
      <c r="AA17" s="2025"/>
      <c r="AB17" s="2040"/>
      <c r="AC17" s="1452"/>
      <c r="AD17" s="2025"/>
      <c r="AE17" s="2025"/>
      <c r="AF17" s="1373"/>
      <c r="AG17" s="1373"/>
      <c r="AH17" s="1453"/>
      <c r="AI17" s="1179"/>
      <c r="AJ17" s="1439"/>
    </row>
    <row r="18" spans="4:64" ht="14.25" customHeight="1">
      <c r="D18" s="2074"/>
      <c r="E18" s="2076"/>
      <c r="F18" s="2076"/>
      <c r="G18" s="2080"/>
      <c r="H18" s="1464"/>
      <c r="I18" s="2082"/>
      <c r="J18" s="2041"/>
      <c r="K18" s="1447"/>
      <c r="L18" s="2026"/>
      <c r="M18" s="2026"/>
      <c r="N18" s="1454"/>
      <c r="O18" s="2026"/>
      <c r="P18" s="2041"/>
      <c r="Q18" s="1455"/>
      <c r="R18" s="2026"/>
      <c r="S18" s="2026"/>
      <c r="T18" s="1456"/>
      <c r="U18" s="2026"/>
      <c r="V18" s="2041"/>
      <c r="W18" s="1457"/>
      <c r="X18" s="2026"/>
      <c r="Y18" s="2026"/>
      <c r="Z18" s="1454"/>
      <c r="AA18" s="2026"/>
      <c r="AB18" s="2041"/>
      <c r="AC18" s="1458"/>
      <c r="AD18" s="2026"/>
      <c r="AE18" s="2026"/>
      <c r="AF18" s="1459"/>
      <c r="AG18" s="1459"/>
      <c r="AH18" s="2085"/>
      <c r="AI18" s="2086"/>
      <c r="AJ18" s="1439"/>
    </row>
    <row r="19" spans="4:64" ht="14.25" customHeight="1">
      <c r="D19" s="2074"/>
      <c r="E19" s="2076"/>
      <c r="F19" s="2076"/>
      <c r="G19" s="2080"/>
      <c r="H19" s="1464"/>
      <c r="I19" s="2082"/>
      <c r="J19" s="2041"/>
      <c r="K19" s="1447"/>
      <c r="L19" s="2026"/>
      <c r="M19" s="2026"/>
      <c r="N19" s="1454"/>
      <c r="O19" s="2026"/>
      <c r="P19" s="2041"/>
      <c r="Q19" s="1455"/>
      <c r="R19" s="2026"/>
      <c r="S19" s="2026"/>
      <c r="T19" s="1456"/>
      <c r="U19" s="2026"/>
      <c r="V19" s="2041"/>
      <c r="W19" s="1457"/>
      <c r="X19" s="2026"/>
      <c r="Y19" s="2026"/>
      <c r="Z19" s="1372"/>
      <c r="AA19" s="1459"/>
      <c r="AB19" s="2085"/>
      <c r="AC19" s="2085"/>
      <c r="AD19" s="2085"/>
      <c r="AE19" s="2085"/>
      <c r="AF19" s="2085"/>
      <c r="AG19" s="2085"/>
      <c r="AH19" s="2085"/>
      <c r="AI19" s="2086"/>
      <c r="AJ19" s="1439"/>
    </row>
    <row r="20" spans="4:64" ht="14.25" customHeight="1">
      <c r="D20" s="2074"/>
      <c r="E20" s="2076"/>
      <c r="F20" s="2076"/>
      <c r="G20" s="2080"/>
      <c r="H20" s="1464"/>
      <c r="I20" s="2082"/>
      <c r="J20" s="2041"/>
      <c r="K20" s="1447"/>
      <c r="L20" s="2026"/>
      <c r="M20" s="2026"/>
      <c r="N20" s="1454"/>
      <c r="O20" s="2026"/>
      <c r="P20" s="2041"/>
      <c r="Q20" s="1455"/>
      <c r="R20" s="2026"/>
      <c r="S20" s="2026"/>
      <c r="T20" s="1460"/>
      <c r="U20" s="1461"/>
      <c r="V20" s="2085"/>
      <c r="W20" s="2085"/>
      <c r="X20" s="2085"/>
      <c r="Y20" s="2085"/>
      <c r="Z20" s="2085"/>
      <c r="AA20" s="2085"/>
      <c r="AB20" s="2085"/>
      <c r="AC20" s="2085"/>
      <c r="AD20" s="2085"/>
      <c r="AE20" s="2085"/>
      <c r="AF20" s="2085"/>
      <c r="AG20" s="2085"/>
      <c r="AH20" s="2085"/>
      <c r="AI20" s="2086"/>
      <c r="AJ20" s="1439"/>
    </row>
    <row r="21" spans="4:64" ht="11.25" customHeight="1">
      <c r="D21" s="2074"/>
      <c r="E21" s="2076"/>
      <c r="F21" s="2076"/>
      <c r="G21" s="2080"/>
      <c r="H21" s="1465"/>
      <c r="I21" s="2082"/>
      <c r="J21" s="2041"/>
      <c r="K21" s="1447"/>
      <c r="L21" s="2026"/>
      <c r="M21" s="2026"/>
      <c r="N21" s="1459"/>
      <c r="O21" s="1459"/>
      <c r="P21" s="2085"/>
      <c r="Q21" s="2085"/>
      <c r="R21" s="2085"/>
      <c r="S21" s="2085"/>
      <c r="T21" s="2085"/>
      <c r="U21" s="2085"/>
      <c r="V21" s="2085"/>
      <c r="W21" s="2085"/>
      <c r="X21" s="2085"/>
      <c r="Y21" s="2085"/>
      <c r="Z21" s="2085"/>
      <c r="AA21" s="2085"/>
      <c r="AB21" s="2085"/>
      <c r="AC21" s="2085"/>
      <c r="AD21" s="2085"/>
      <c r="AE21" s="2085"/>
      <c r="AF21" s="2085"/>
      <c r="AG21" s="2085"/>
      <c r="AH21" s="2085"/>
      <c r="AI21" s="2086"/>
      <c r="AJ21" s="1439"/>
    </row>
    <row r="22" spans="4:64" s="1639" customFormat="1" ht="11.25" customHeight="1">
      <c r="D22" s="2075"/>
      <c r="E22" s="2077"/>
      <c r="F22" s="2078"/>
      <c r="G22" s="2022"/>
      <c r="H22" s="1462"/>
      <c r="I22" s="1466"/>
      <c r="J22" s="2083"/>
      <c r="K22" s="2083"/>
      <c r="L22" s="2083"/>
      <c r="M22" s="2083"/>
      <c r="N22" s="2083"/>
      <c r="O22" s="2083"/>
      <c r="P22" s="2083"/>
      <c r="Q22" s="2083"/>
      <c r="R22" s="2083"/>
      <c r="S22" s="2083"/>
      <c r="T22" s="2083"/>
      <c r="U22" s="2083"/>
      <c r="V22" s="2083"/>
      <c r="W22" s="2083"/>
      <c r="X22" s="2083"/>
      <c r="Y22" s="2083"/>
      <c r="Z22" s="2083"/>
      <c r="AA22" s="2083"/>
      <c r="AB22" s="2083"/>
      <c r="AC22" s="2083"/>
      <c r="AD22" s="2083"/>
      <c r="AE22" s="2083"/>
      <c r="AF22" s="2083"/>
      <c r="AG22" s="2083"/>
      <c r="AH22" s="2083"/>
      <c r="AI22" s="2084"/>
      <c r="AJ22" s="1439"/>
      <c r="AK22" s="225"/>
      <c r="AL22" s="1439"/>
      <c r="AM22" s="1439"/>
      <c r="AN22" s="1439"/>
      <c r="AO22" s="1439"/>
      <c r="AP22" s="1439"/>
      <c r="AQ22" s="1439"/>
      <c r="AR22" s="1439"/>
      <c r="AS22" s="1439"/>
      <c r="AT22" s="1439"/>
      <c r="AU22" s="1439"/>
      <c r="AV22" s="1439"/>
      <c r="AW22" s="1439"/>
      <c r="AX22" s="1439"/>
      <c r="AY22" s="1439"/>
      <c r="AZ22" s="1439"/>
      <c r="BA22" s="1439"/>
      <c r="BB22" s="1439"/>
      <c r="BC22" s="1439"/>
      <c r="BD22" s="1439"/>
      <c r="BE22" s="1439"/>
      <c r="BF22" s="1439"/>
      <c r="BG22" s="1439"/>
      <c r="BH22" s="1439"/>
      <c r="BI22" s="1439"/>
      <c r="BJ22" s="1439"/>
      <c r="BK22" s="1439"/>
      <c r="BL22" s="1439"/>
    </row>
    <row r="23" spans="4:64" ht="14.25" customHeight="1">
      <c r="D23" s="2074" t="s">
        <v>89</v>
      </c>
      <c r="E23" s="2076" t="s">
        <v>285</v>
      </c>
      <c r="F23" s="2076" t="s">
        <v>288</v>
      </c>
      <c r="G23" s="2079" t="s">
        <v>55</v>
      </c>
      <c r="H23" s="1463"/>
      <c r="I23" s="2081"/>
      <c r="J23" s="2040"/>
      <c r="K23" s="1374"/>
      <c r="L23" s="2025"/>
      <c r="M23" s="2025"/>
      <c r="N23" s="1448"/>
      <c r="O23" s="2025"/>
      <c r="P23" s="2040"/>
      <c r="Q23" s="1449"/>
      <c r="R23" s="2025"/>
      <c r="S23" s="2025"/>
      <c r="T23" s="1450"/>
      <c r="U23" s="2025"/>
      <c r="V23" s="2040"/>
      <c r="W23" s="1451"/>
      <c r="X23" s="2025"/>
      <c r="Y23" s="2025"/>
      <c r="Z23" s="1448"/>
      <c r="AA23" s="2025"/>
      <c r="AB23" s="2040"/>
      <c r="AC23" s="1452"/>
      <c r="AD23" s="2025"/>
      <c r="AE23" s="2025"/>
      <c r="AF23" s="1373"/>
      <c r="AG23" s="1373"/>
      <c r="AH23" s="1453"/>
      <c r="AI23" s="1179"/>
      <c r="AJ23" s="1439"/>
      <c r="AK23" s="225" t="s">
        <v>97</v>
      </c>
    </row>
    <row r="24" spans="4:64" ht="14.25" customHeight="1">
      <c r="D24" s="2074"/>
      <c r="E24" s="2076"/>
      <c r="F24" s="2076"/>
      <c r="G24" s="2080"/>
      <c r="H24" s="1464"/>
      <c r="I24" s="2082"/>
      <c r="J24" s="2041"/>
      <c r="K24" s="1472"/>
      <c r="L24" s="2026"/>
      <c r="M24" s="2026"/>
      <c r="N24" s="1454"/>
      <c r="O24" s="2026"/>
      <c r="P24" s="2041"/>
      <c r="Q24" s="1455"/>
      <c r="R24" s="2026"/>
      <c r="S24" s="2026"/>
      <c r="T24" s="1456"/>
      <c r="U24" s="2026"/>
      <c r="V24" s="2041"/>
      <c r="W24" s="1457"/>
      <c r="X24" s="2026"/>
      <c r="Y24" s="2026"/>
      <c r="Z24" s="1454"/>
      <c r="AA24" s="2026"/>
      <c r="AB24" s="2041"/>
      <c r="AC24" s="1458"/>
      <c r="AD24" s="2026"/>
      <c r="AE24" s="2026"/>
      <c r="AF24" s="1459"/>
      <c r="AG24" s="1459"/>
      <c r="AH24" s="2085"/>
      <c r="AI24" s="2086"/>
      <c r="AJ24" s="1439"/>
    </row>
    <row r="25" spans="4:64" ht="14.25" customHeight="1">
      <c r="D25" s="2074"/>
      <c r="E25" s="2076"/>
      <c r="F25" s="2076"/>
      <c r="G25" s="2080"/>
      <c r="H25" s="1464"/>
      <c r="I25" s="2082"/>
      <c r="J25" s="2041"/>
      <c r="K25" s="1472"/>
      <c r="L25" s="2026"/>
      <c r="M25" s="2026"/>
      <c r="N25" s="1454"/>
      <c r="O25" s="2026"/>
      <c r="P25" s="2041"/>
      <c r="Q25" s="1455"/>
      <c r="R25" s="2026"/>
      <c r="S25" s="2026"/>
      <c r="T25" s="1456"/>
      <c r="U25" s="2026"/>
      <c r="V25" s="2041"/>
      <c r="W25" s="1457"/>
      <c r="X25" s="2026"/>
      <c r="Y25" s="2026"/>
      <c r="Z25" s="1372"/>
      <c r="AA25" s="1459"/>
      <c r="AB25" s="2085"/>
      <c r="AC25" s="2085"/>
      <c r="AD25" s="2085"/>
      <c r="AE25" s="2085"/>
      <c r="AF25" s="2085"/>
      <c r="AG25" s="2085"/>
      <c r="AH25" s="2085"/>
      <c r="AI25" s="2086"/>
      <c r="AJ25" s="1439"/>
    </row>
    <row r="26" spans="4:64" ht="14.25" customHeight="1">
      <c r="D26" s="2074"/>
      <c r="E26" s="2076"/>
      <c r="F26" s="2076"/>
      <c r="G26" s="2080"/>
      <c r="H26" s="1464"/>
      <c r="I26" s="2082"/>
      <c r="J26" s="2041"/>
      <c r="K26" s="1472"/>
      <c r="L26" s="2026"/>
      <c r="M26" s="2026"/>
      <c r="N26" s="1454"/>
      <c r="O26" s="2026"/>
      <c r="P26" s="2041"/>
      <c r="Q26" s="1455"/>
      <c r="R26" s="2026"/>
      <c r="S26" s="2026"/>
      <c r="T26" s="1460"/>
      <c r="U26" s="1461"/>
      <c r="V26" s="2085"/>
      <c r="W26" s="2085"/>
      <c r="X26" s="2085"/>
      <c r="Y26" s="2085"/>
      <c r="Z26" s="2085"/>
      <c r="AA26" s="2085"/>
      <c r="AB26" s="2085"/>
      <c r="AC26" s="2085"/>
      <c r="AD26" s="2085"/>
      <c r="AE26" s="2085"/>
      <c r="AF26" s="2085"/>
      <c r="AG26" s="2085"/>
      <c r="AH26" s="2085"/>
      <c r="AI26" s="2086"/>
      <c r="AJ26" s="1439"/>
    </row>
    <row r="27" spans="4:64" ht="11.25" customHeight="1">
      <c r="D27" s="2074"/>
      <c r="E27" s="2076"/>
      <c r="F27" s="2076"/>
      <c r="G27" s="2080"/>
      <c r="H27" s="1465"/>
      <c r="I27" s="2082"/>
      <c r="J27" s="2041"/>
      <c r="K27" s="1472"/>
      <c r="L27" s="2026"/>
      <c r="M27" s="2026"/>
      <c r="N27" s="1459"/>
      <c r="O27" s="1459"/>
      <c r="P27" s="2085"/>
      <c r="Q27" s="2085"/>
      <c r="R27" s="2085"/>
      <c r="S27" s="2085"/>
      <c r="T27" s="2085"/>
      <c r="U27" s="2085"/>
      <c r="V27" s="2085"/>
      <c r="W27" s="2085"/>
      <c r="X27" s="2085"/>
      <c r="Y27" s="2085"/>
      <c r="Z27" s="2085"/>
      <c r="AA27" s="2085"/>
      <c r="AB27" s="2085"/>
      <c r="AC27" s="2085"/>
      <c r="AD27" s="2085"/>
      <c r="AE27" s="2085"/>
      <c r="AF27" s="2085"/>
      <c r="AG27" s="2085"/>
      <c r="AH27" s="2085"/>
      <c r="AI27" s="2086"/>
      <c r="AJ27" s="1439"/>
    </row>
    <row r="28" spans="4:64" s="1639" customFormat="1" ht="11.25" customHeight="1">
      <c r="D28" s="2075"/>
      <c r="E28" s="2077"/>
      <c r="F28" s="2078"/>
      <c r="G28" s="2022"/>
      <c r="H28" s="1462"/>
      <c r="I28" s="1466"/>
      <c r="J28" s="2083"/>
      <c r="K28" s="2083"/>
      <c r="L28" s="2083"/>
      <c r="M28" s="2083"/>
      <c r="N28" s="2083"/>
      <c r="O28" s="2083"/>
      <c r="P28" s="2083"/>
      <c r="Q28" s="2083"/>
      <c r="R28" s="2083"/>
      <c r="S28" s="2083"/>
      <c r="T28" s="2083"/>
      <c r="U28" s="2083"/>
      <c r="V28" s="2083"/>
      <c r="W28" s="2083"/>
      <c r="X28" s="2083"/>
      <c r="Y28" s="2083"/>
      <c r="Z28" s="2083"/>
      <c r="AA28" s="2083"/>
      <c r="AB28" s="2083"/>
      <c r="AC28" s="2083"/>
      <c r="AD28" s="2083"/>
      <c r="AE28" s="2083"/>
      <c r="AF28" s="2083"/>
      <c r="AG28" s="2083"/>
      <c r="AH28" s="2083"/>
      <c r="AI28" s="2084"/>
      <c r="AJ28" s="1439"/>
      <c r="AK28" s="225"/>
      <c r="AL28" s="1439"/>
      <c r="AM28" s="1439"/>
      <c r="AN28" s="1439"/>
      <c r="AO28" s="1439"/>
      <c r="AP28" s="1439"/>
      <c r="AQ28" s="1439"/>
      <c r="AR28" s="1439"/>
      <c r="AS28" s="1439"/>
      <c r="AT28" s="1439"/>
      <c r="AU28" s="1439"/>
      <c r="AV28" s="1439"/>
      <c r="AW28" s="1439"/>
      <c r="AX28" s="1439"/>
      <c r="AY28" s="1439"/>
      <c r="AZ28" s="1439"/>
      <c r="BA28" s="1439"/>
      <c r="BB28" s="1439"/>
      <c r="BC28" s="1439"/>
      <c r="BD28" s="1439"/>
      <c r="BE28" s="1439"/>
      <c r="BF28" s="1439"/>
      <c r="BG28" s="1439"/>
      <c r="BH28" s="1439"/>
      <c r="BI28" s="1439"/>
      <c r="BJ28" s="1439"/>
      <c r="BK28" s="1439"/>
      <c r="BL28" s="1439"/>
    </row>
    <row r="29" spans="4:64" ht="14.25" customHeight="1">
      <c r="D29" s="2074" t="s">
        <v>90</v>
      </c>
      <c r="E29" s="2076" t="s">
        <v>285</v>
      </c>
      <c r="F29" s="2076" t="s">
        <v>289</v>
      </c>
      <c r="G29" s="2079" t="s">
        <v>55</v>
      </c>
      <c r="H29" s="1463"/>
      <c r="I29" s="2081"/>
      <c r="J29" s="2040"/>
      <c r="K29" s="1374"/>
      <c r="L29" s="2025"/>
      <c r="M29" s="2025"/>
      <c r="N29" s="1448"/>
      <c r="O29" s="2025"/>
      <c r="P29" s="2040"/>
      <c r="Q29" s="1449"/>
      <c r="R29" s="2025"/>
      <c r="S29" s="2025"/>
      <c r="T29" s="1450"/>
      <c r="U29" s="2025"/>
      <c r="V29" s="2040"/>
      <c r="W29" s="1451"/>
      <c r="X29" s="2025"/>
      <c r="Y29" s="2025"/>
      <c r="Z29" s="1448"/>
      <c r="AA29" s="2025"/>
      <c r="AB29" s="2040"/>
      <c r="AC29" s="1452"/>
      <c r="AD29" s="2025"/>
      <c r="AE29" s="2025"/>
      <c r="AF29" s="1373"/>
      <c r="AG29" s="1373"/>
      <c r="AH29" s="1453"/>
      <c r="AI29" s="1179"/>
      <c r="AJ29" s="1439"/>
    </row>
    <row r="30" spans="4:64" ht="14.25" customHeight="1">
      <c r="D30" s="2074"/>
      <c r="E30" s="2076"/>
      <c r="F30" s="2076"/>
      <c r="G30" s="2080"/>
      <c r="H30" s="1464"/>
      <c r="I30" s="2082"/>
      <c r="J30" s="2041"/>
      <c r="K30" s="1447"/>
      <c r="L30" s="2026"/>
      <c r="M30" s="2026"/>
      <c r="N30" s="1454"/>
      <c r="O30" s="2026"/>
      <c r="P30" s="2041"/>
      <c r="Q30" s="1455"/>
      <c r="R30" s="2026"/>
      <c r="S30" s="2026"/>
      <c r="T30" s="1456"/>
      <c r="U30" s="2026"/>
      <c r="V30" s="2041"/>
      <c r="W30" s="1457"/>
      <c r="X30" s="2026"/>
      <c r="Y30" s="2026"/>
      <c r="Z30" s="1454"/>
      <c r="AA30" s="2026"/>
      <c r="AB30" s="2041"/>
      <c r="AC30" s="1458"/>
      <c r="AD30" s="2026"/>
      <c r="AE30" s="2026"/>
      <c r="AF30" s="1459"/>
      <c r="AG30" s="1459"/>
      <c r="AH30" s="2085"/>
      <c r="AI30" s="2086"/>
      <c r="AJ30" s="1439"/>
    </row>
    <row r="31" spans="4:64" ht="14.25" customHeight="1">
      <c r="D31" s="2074"/>
      <c r="E31" s="2076"/>
      <c r="F31" s="2076"/>
      <c r="G31" s="2080"/>
      <c r="H31" s="1464"/>
      <c r="I31" s="2082"/>
      <c r="J31" s="2041"/>
      <c r="K31" s="1447"/>
      <c r="L31" s="2026"/>
      <c r="M31" s="2026"/>
      <c r="N31" s="1454"/>
      <c r="O31" s="2026"/>
      <c r="P31" s="2041"/>
      <c r="Q31" s="1455"/>
      <c r="R31" s="2026"/>
      <c r="S31" s="2026"/>
      <c r="T31" s="1456"/>
      <c r="U31" s="2026"/>
      <c r="V31" s="2041"/>
      <c r="W31" s="1457"/>
      <c r="X31" s="2026"/>
      <c r="Y31" s="2026"/>
      <c r="Z31" s="1372"/>
      <c r="AA31" s="1459"/>
      <c r="AB31" s="2085"/>
      <c r="AC31" s="2085"/>
      <c r="AD31" s="2085"/>
      <c r="AE31" s="2085"/>
      <c r="AF31" s="2085"/>
      <c r="AG31" s="2085"/>
      <c r="AH31" s="2085"/>
      <c r="AI31" s="2086"/>
      <c r="AJ31" s="1439"/>
    </row>
    <row r="32" spans="4:64" ht="14.25" customHeight="1">
      <c r="D32" s="2074"/>
      <c r="E32" s="2076"/>
      <c r="F32" s="2076"/>
      <c r="G32" s="2080"/>
      <c r="H32" s="1464"/>
      <c r="I32" s="2082"/>
      <c r="J32" s="2041"/>
      <c r="K32" s="1447"/>
      <c r="L32" s="2026"/>
      <c r="M32" s="2026"/>
      <c r="N32" s="1454"/>
      <c r="O32" s="2026"/>
      <c r="P32" s="2041"/>
      <c r="Q32" s="1455"/>
      <c r="R32" s="2026"/>
      <c r="S32" s="2026"/>
      <c r="T32" s="1460"/>
      <c r="U32" s="1461"/>
      <c r="V32" s="2085"/>
      <c r="W32" s="2085"/>
      <c r="X32" s="2085"/>
      <c r="Y32" s="2085"/>
      <c r="Z32" s="2085"/>
      <c r="AA32" s="2085"/>
      <c r="AB32" s="2085"/>
      <c r="AC32" s="2085"/>
      <c r="AD32" s="2085"/>
      <c r="AE32" s="2085"/>
      <c r="AF32" s="2085"/>
      <c r="AG32" s="2085"/>
      <c r="AH32" s="2085"/>
      <c r="AI32" s="2086"/>
      <c r="AJ32" s="1439"/>
    </row>
    <row r="33" spans="4:64" ht="11.25" customHeight="1">
      <c r="D33" s="2074"/>
      <c r="E33" s="2076"/>
      <c r="F33" s="2076"/>
      <c r="G33" s="2080"/>
      <c r="H33" s="1465"/>
      <c r="I33" s="2082"/>
      <c r="J33" s="2041"/>
      <c r="K33" s="1447"/>
      <c r="L33" s="2026"/>
      <c r="M33" s="2026"/>
      <c r="N33" s="1459"/>
      <c r="O33" s="1459"/>
      <c r="P33" s="2085"/>
      <c r="Q33" s="2085"/>
      <c r="R33" s="2085"/>
      <c r="S33" s="2085"/>
      <c r="T33" s="2085"/>
      <c r="U33" s="2085"/>
      <c r="V33" s="2085"/>
      <c r="W33" s="2085"/>
      <c r="X33" s="2085"/>
      <c r="Y33" s="2085"/>
      <c r="Z33" s="2085"/>
      <c r="AA33" s="2085"/>
      <c r="AB33" s="2085"/>
      <c r="AC33" s="2085"/>
      <c r="AD33" s="2085"/>
      <c r="AE33" s="2085"/>
      <c r="AF33" s="2085"/>
      <c r="AG33" s="2085"/>
      <c r="AH33" s="2085"/>
      <c r="AI33" s="2086"/>
      <c r="AJ33" s="1439"/>
    </row>
    <row r="34" spans="4:64" s="1639" customFormat="1" ht="11.25" customHeight="1">
      <c r="D34" s="2075"/>
      <c r="E34" s="2077"/>
      <c r="F34" s="2078"/>
      <c r="G34" s="2022"/>
      <c r="H34" s="1462"/>
      <c r="I34" s="1466"/>
      <c r="J34" s="2083"/>
      <c r="K34" s="2083"/>
      <c r="L34" s="2083"/>
      <c r="M34" s="2083"/>
      <c r="N34" s="2083"/>
      <c r="O34" s="2083"/>
      <c r="P34" s="2083"/>
      <c r="Q34" s="2083"/>
      <c r="R34" s="2083"/>
      <c r="S34" s="2083"/>
      <c r="T34" s="2083"/>
      <c r="U34" s="2083"/>
      <c r="V34" s="2083"/>
      <c r="W34" s="2083"/>
      <c r="X34" s="2083"/>
      <c r="Y34" s="2083"/>
      <c r="Z34" s="2083"/>
      <c r="AA34" s="2083"/>
      <c r="AB34" s="2083"/>
      <c r="AC34" s="2083"/>
      <c r="AD34" s="2083"/>
      <c r="AE34" s="2083"/>
      <c r="AF34" s="2083"/>
      <c r="AG34" s="2083"/>
      <c r="AH34" s="2083"/>
      <c r="AI34" s="2084"/>
      <c r="AJ34" s="1439"/>
      <c r="AK34" s="225"/>
      <c r="AL34" s="1439"/>
      <c r="AM34" s="1439"/>
      <c r="AN34" s="1439"/>
      <c r="AO34" s="1439"/>
      <c r="AP34" s="1439"/>
      <c r="AQ34" s="1439"/>
      <c r="AR34" s="1439"/>
      <c r="AS34" s="1439"/>
      <c r="AT34" s="1439"/>
      <c r="AU34" s="1439"/>
      <c r="AV34" s="1439"/>
      <c r="AW34" s="1439"/>
      <c r="AX34" s="1439"/>
      <c r="AY34" s="1439"/>
      <c r="AZ34" s="1439"/>
      <c r="BA34" s="1439"/>
      <c r="BB34" s="1439"/>
      <c r="BC34" s="1439"/>
      <c r="BD34" s="1439"/>
      <c r="BE34" s="1439"/>
      <c r="BF34" s="1439"/>
      <c r="BG34" s="1439"/>
      <c r="BH34" s="1439"/>
      <c r="BI34" s="1439"/>
      <c r="BJ34" s="1439"/>
      <c r="BK34" s="1439"/>
      <c r="BL34" s="1439"/>
    </row>
    <row r="35" spans="4:64" ht="14.25" customHeight="1">
      <c r="D35" s="2074" t="s">
        <v>110</v>
      </c>
      <c r="E35" s="2076" t="s">
        <v>285</v>
      </c>
      <c r="F35" s="2076" t="s">
        <v>290</v>
      </c>
      <c r="G35" s="2079" t="s">
        <v>55</v>
      </c>
      <c r="H35" s="1463"/>
      <c r="I35" s="2081"/>
      <c r="J35" s="2040"/>
      <c r="K35" s="1374"/>
      <c r="L35" s="2025"/>
      <c r="M35" s="2025"/>
      <c r="N35" s="1448"/>
      <c r="O35" s="2025"/>
      <c r="P35" s="2040"/>
      <c r="Q35" s="1449"/>
      <c r="R35" s="2025"/>
      <c r="S35" s="2025"/>
      <c r="T35" s="1450"/>
      <c r="U35" s="2025"/>
      <c r="V35" s="2040"/>
      <c r="W35" s="1451"/>
      <c r="X35" s="2025"/>
      <c r="Y35" s="2025"/>
      <c r="Z35" s="1448"/>
      <c r="AA35" s="2025"/>
      <c r="AB35" s="2040"/>
      <c r="AC35" s="1452"/>
      <c r="AD35" s="2025"/>
      <c r="AE35" s="2025"/>
      <c r="AF35" s="1373"/>
      <c r="AG35" s="1373"/>
      <c r="AH35" s="1453"/>
      <c r="AI35" s="1179"/>
      <c r="AJ35" s="1439"/>
    </row>
    <row r="36" spans="4:64" ht="14.25" customHeight="1">
      <c r="D36" s="2074"/>
      <c r="E36" s="2076"/>
      <c r="F36" s="2076"/>
      <c r="G36" s="2080"/>
      <c r="H36" s="1464"/>
      <c r="I36" s="2082"/>
      <c r="J36" s="2041"/>
      <c r="K36" s="1447"/>
      <c r="L36" s="2026"/>
      <c r="M36" s="2026"/>
      <c r="N36" s="1454"/>
      <c r="O36" s="2026"/>
      <c r="P36" s="2041"/>
      <c r="Q36" s="1455"/>
      <c r="R36" s="2026"/>
      <c r="S36" s="2026"/>
      <c r="T36" s="1456"/>
      <c r="U36" s="2026"/>
      <c r="V36" s="2041"/>
      <c r="W36" s="1457"/>
      <c r="X36" s="2026"/>
      <c r="Y36" s="2026"/>
      <c r="Z36" s="1454"/>
      <c r="AA36" s="2026"/>
      <c r="AB36" s="2041"/>
      <c r="AC36" s="1458"/>
      <c r="AD36" s="2026"/>
      <c r="AE36" s="2026"/>
      <c r="AF36" s="1459"/>
      <c r="AG36" s="1459"/>
      <c r="AH36" s="2085"/>
      <c r="AI36" s="2086"/>
      <c r="AJ36" s="1439"/>
    </row>
    <row r="37" spans="4:64" ht="14.25" customHeight="1">
      <c r="D37" s="2074"/>
      <c r="E37" s="2076"/>
      <c r="F37" s="2076"/>
      <c r="G37" s="2080"/>
      <c r="H37" s="1464"/>
      <c r="I37" s="2082"/>
      <c r="J37" s="2041"/>
      <c r="K37" s="1447"/>
      <c r="L37" s="2026"/>
      <c r="M37" s="2026"/>
      <c r="N37" s="1454"/>
      <c r="O37" s="2026"/>
      <c r="P37" s="2041"/>
      <c r="Q37" s="1455"/>
      <c r="R37" s="2026"/>
      <c r="S37" s="2026"/>
      <c r="T37" s="1456"/>
      <c r="U37" s="2026"/>
      <c r="V37" s="2041"/>
      <c r="W37" s="1457"/>
      <c r="X37" s="2026"/>
      <c r="Y37" s="2026"/>
      <c r="Z37" s="1372"/>
      <c r="AA37" s="1459"/>
      <c r="AB37" s="2085"/>
      <c r="AC37" s="2085"/>
      <c r="AD37" s="2085"/>
      <c r="AE37" s="2085"/>
      <c r="AF37" s="2085"/>
      <c r="AG37" s="2085"/>
      <c r="AH37" s="2085"/>
      <c r="AI37" s="2086"/>
      <c r="AJ37" s="1439"/>
    </row>
    <row r="38" spans="4:64" ht="14.25" customHeight="1">
      <c r="D38" s="2074"/>
      <c r="E38" s="2076"/>
      <c r="F38" s="2076"/>
      <c r="G38" s="2080"/>
      <c r="H38" s="1464"/>
      <c r="I38" s="2082"/>
      <c r="J38" s="2041"/>
      <c r="K38" s="1447"/>
      <c r="L38" s="2026"/>
      <c r="M38" s="2026"/>
      <c r="N38" s="1454"/>
      <c r="O38" s="2026"/>
      <c r="P38" s="2041"/>
      <c r="Q38" s="1455"/>
      <c r="R38" s="2026"/>
      <c r="S38" s="2026"/>
      <c r="T38" s="1460"/>
      <c r="U38" s="1461"/>
      <c r="V38" s="2085"/>
      <c r="W38" s="2085"/>
      <c r="X38" s="2085"/>
      <c r="Y38" s="2085"/>
      <c r="Z38" s="2085"/>
      <c r="AA38" s="2085"/>
      <c r="AB38" s="2085"/>
      <c r="AC38" s="2085"/>
      <c r="AD38" s="2085"/>
      <c r="AE38" s="2085"/>
      <c r="AF38" s="2085"/>
      <c r="AG38" s="2085"/>
      <c r="AH38" s="2085"/>
      <c r="AI38" s="2086"/>
      <c r="AJ38" s="1439"/>
    </row>
    <row r="39" spans="4:64" ht="11.25" customHeight="1">
      <c r="D39" s="2074"/>
      <c r="E39" s="2076"/>
      <c r="F39" s="2076"/>
      <c r="G39" s="2080"/>
      <c r="H39" s="1465"/>
      <c r="I39" s="2082"/>
      <c r="J39" s="2041"/>
      <c r="K39" s="1447"/>
      <c r="L39" s="2026"/>
      <c r="M39" s="2026"/>
      <c r="N39" s="1459"/>
      <c r="O39" s="1459"/>
      <c r="P39" s="2085"/>
      <c r="Q39" s="2085"/>
      <c r="R39" s="2085"/>
      <c r="S39" s="2085"/>
      <c r="T39" s="2085"/>
      <c r="U39" s="2085"/>
      <c r="V39" s="2085"/>
      <c r="W39" s="2085"/>
      <c r="X39" s="2085"/>
      <c r="Y39" s="2085"/>
      <c r="Z39" s="2085"/>
      <c r="AA39" s="2085"/>
      <c r="AB39" s="2085"/>
      <c r="AC39" s="2085"/>
      <c r="AD39" s="2085"/>
      <c r="AE39" s="2085"/>
      <c r="AF39" s="2085"/>
      <c r="AG39" s="2085"/>
      <c r="AH39" s="2085"/>
      <c r="AI39" s="2086"/>
      <c r="AJ39" s="1439"/>
    </row>
    <row r="40" spans="4:64" s="1639" customFormat="1" ht="11.25" customHeight="1">
      <c r="D40" s="2074"/>
      <c r="E40" s="2076"/>
      <c r="F40" s="2087"/>
      <c r="G40" s="2022"/>
      <c r="H40" s="1462"/>
      <c r="I40" s="1466"/>
      <c r="J40" s="2083"/>
      <c r="K40" s="2083"/>
      <c r="L40" s="2083"/>
      <c r="M40" s="2083"/>
      <c r="N40" s="2083"/>
      <c r="O40" s="2083"/>
      <c r="P40" s="2083"/>
      <c r="Q40" s="2083"/>
      <c r="R40" s="2083"/>
      <c r="S40" s="2083"/>
      <c r="T40" s="2083"/>
      <c r="U40" s="2083"/>
      <c r="V40" s="2083"/>
      <c r="W40" s="2083"/>
      <c r="X40" s="2083"/>
      <c r="Y40" s="2083"/>
      <c r="Z40" s="2083"/>
      <c r="AA40" s="2083"/>
      <c r="AB40" s="2083"/>
      <c r="AC40" s="2083"/>
      <c r="AD40" s="2083"/>
      <c r="AE40" s="2083"/>
      <c r="AF40" s="2083"/>
      <c r="AG40" s="2083"/>
      <c r="AH40" s="2083"/>
      <c r="AI40" s="2084"/>
      <c r="AJ40" s="1439"/>
      <c r="AK40" s="225"/>
      <c r="AL40" s="1439"/>
      <c r="AM40" s="1439"/>
      <c r="AN40" s="1439"/>
      <c r="AO40" s="1439"/>
      <c r="AP40" s="1439"/>
      <c r="AQ40" s="1439"/>
      <c r="AR40" s="1439"/>
      <c r="AS40" s="1439"/>
      <c r="AT40" s="1439"/>
      <c r="AU40" s="1439"/>
      <c r="AV40" s="1439"/>
      <c r="AW40" s="1439"/>
      <c r="AX40" s="1439"/>
      <c r="AY40" s="1439"/>
      <c r="AZ40" s="1439"/>
      <c r="BA40" s="1439"/>
      <c r="BB40" s="1439"/>
      <c r="BC40" s="1439"/>
      <c r="BD40" s="1439"/>
      <c r="BE40" s="1439"/>
      <c r="BF40" s="1439"/>
      <c r="BG40" s="1439"/>
      <c r="BH40" s="1439"/>
      <c r="BI40" s="1439"/>
      <c r="BJ40" s="1439"/>
      <c r="BK40" s="1439"/>
      <c r="BL40" s="1439"/>
    </row>
    <row r="41" spans="4:64" ht="11.25" customHeight="1">
      <c r="AK41" s="357"/>
    </row>
    <row r="42" spans="4:64" ht="11.25" customHeight="1">
      <c r="AK42" s="357"/>
    </row>
    <row r="43" spans="4:64" ht="11.25" customHeight="1">
      <c r="AK43" s="357"/>
    </row>
    <row r="44" spans="4:64" ht="11.25" customHeight="1">
      <c r="AK44" s="357"/>
    </row>
    <row r="45" spans="4:64" ht="11.25" customHeight="1">
      <c r="AK45" s="357"/>
    </row>
    <row r="46" spans="4:64" ht="11.25" customHeight="1">
      <c r="AK46" s="357"/>
    </row>
    <row r="47" spans="4:64" ht="11.25" customHeight="1">
      <c r="AK47" s="357"/>
    </row>
    <row r="48" spans="4:64" ht="11.25" customHeight="1">
      <c r="AK48" s="357"/>
    </row>
    <row r="49" spans="37:37" ht="11.25" customHeight="1">
      <c r="AK49" s="357"/>
    </row>
  </sheetData>
  <sheetProtection formatColumns="0" formatRows="0" insertRows="0" deleteColumns="0" deleteRows="0" sort="0" autoFilter="0"/>
  <mergeCells count="151">
    <mergeCell ref="AI8:AI10"/>
    <mergeCell ref="D5:J5"/>
    <mergeCell ref="AB13:AI13"/>
    <mergeCell ref="Y11:Y13"/>
    <mergeCell ref="X11:X13"/>
    <mergeCell ref="AA11:AA12"/>
    <mergeCell ref="R11:R14"/>
    <mergeCell ref="S11:S14"/>
    <mergeCell ref="U11:U13"/>
    <mergeCell ref="V11:V13"/>
    <mergeCell ref="V14:AI14"/>
    <mergeCell ref="F11:F16"/>
    <mergeCell ref="I11:I15"/>
    <mergeCell ref="J11:J15"/>
    <mergeCell ref="L11:L15"/>
    <mergeCell ref="M11:M15"/>
    <mergeCell ref="O11:O14"/>
    <mergeCell ref="P11:P14"/>
    <mergeCell ref="L9:M9"/>
    <mergeCell ref="P9:P10"/>
    <mergeCell ref="R9:S9"/>
    <mergeCell ref="AB35:AB36"/>
    <mergeCell ref="O23:O26"/>
    <mergeCell ref="P23:P26"/>
    <mergeCell ref="R23:R26"/>
    <mergeCell ref="S23:S26"/>
    <mergeCell ref="AB23:AB24"/>
    <mergeCell ref="AD23:AD24"/>
    <mergeCell ref="AE23:AE24"/>
    <mergeCell ref="AA23:AA24"/>
    <mergeCell ref="AB29:AB30"/>
    <mergeCell ref="L35:L39"/>
    <mergeCell ref="M35:M39"/>
    <mergeCell ref="O35:O38"/>
    <mergeCell ref="P35:P38"/>
    <mergeCell ref="R35:R38"/>
    <mergeCell ref="S35:S38"/>
    <mergeCell ref="D35:D40"/>
    <mergeCell ref="E35:E40"/>
    <mergeCell ref="F35:F40"/>
    <mergeCell ref="G35:G40"/>
    <mergeCell ref="I35:I39"/>
    <mergeCell ref="J35:J39"/>
    <mergeCell ref="J40:AI40"/>
    <mergeCell ref="AD35:AD36"/>
    <mergeCell ref="AE35:AE36"/>
    <mergeCell ref="AH36:AI36"/>
    <mergeCell ref="AB37:AI37"/>
    <mergeCell ref="V38:AI38"/>
    <mergeCell ref="P39:AI39"/>
    <mergeCell ref="U35:U37"/>
    <mergeCell ref="V35:V37"/>
    <mergeCell ref="X35:X37"/>
    <mergeCell ref="Y35:Y37"/>
    <mergeCell ref="AA35:AA36"/>
    <mergeCell ref="L29:L33"/>
    <mergeCell ref="M29:M33"/>
    <mergeCell ref="O29:O32"/>
    <mergeCell ref="P29:P32"/>
    <mergeCell ref="R29:R32"/>
    <mergeCell ref="S29:S32"/>
    <mergeCell ref="D29:D34"/>
    <mergeCell ref="E29:E34"/>
    <mergeCell ref="F29:F34"/>
    <mergeCell ref="G29:G34"/>
    <mergeCell ref="I29:I33"/>
    <mergeCell ref="J29:J33"/>
    <mergeCell ref="J34:AI34"/>
    <mergeCell ref="AD29:AD30"/>
    <mergeCell ref="AE29:AE30"/>
    <mergeCell ref="AH30:AI30"/>
    <mergeCell ref="AB31:AI31"/>
    <mergeCell ref="V32:AI32"/>
    <mergeCell ref="P33:AI33"/>
    <mergeCell ref="U29:U31"/>
    <mergeCell ref="V29:V31"/>
    <mergeCell ref="X29:X31"/>
    <mergeCell ref="Y29:Y31"/>
    <mergeCell ref="AA29:AA30"/>
    <mergeCell ref="AH24:AI24"/>
    <mergeCell ref="AB25:AI25"/>
    <mergeCell ref="V26:AI26"/>
    <mergeCell ref="P27:AI27"/>
    <mergeCell ref="U23:U25"/>
    <mergeCell ref="V23:V25"/>
    <mergeCell ref="X23:X25"/>
    <mergeCell ref="Y23:Y25"/>
    <mergeCell ref="L23:L27"/>
    <mergeCell ref="M23:M27"/>
    <mergeCell ref="D23:D28"/>
    <mergeCell ref="E23:E28"/>
    <mergeCell ref="F23:F28"/>
    <mergeCell ref="G23:G28"/>
    <mergeCell ref="I23:I27"/>
    <mergeCell ref="J23:J27"/>
    <mergeCell ref="J28:AI28"/>
    <mergeCell ref="AD17:AD18"/>
    <mergeCell ref="AE17:AE18"/>
    <mergeCell ref="AH18:AI18"/>
    <mergeCell ref="AB19:AI19"/>
    <mergeCell ref="V20:AI20"/>
    <mergeCell ref="P21:AI21"/>
    <mergeCell ref="U17:U19"/>
    <mergeCell ref="V17:V19"/>
    <mergeCell ref="X17:X19"/>
    <mergeCell ref="Y17:Y19"/>
    <mergeCell ref="AA17:AA18"/>
    <mergeCell ref="AB17:AB18"/>
    <mergeCell ref="L17:L21"/>
    <mergeCell ref="M17:M21"/>
    <mergeCell ref="O17:O20"/>
    <mergeCell ref="P17:P20"/>
    <mergeCell ref="R17:R20"/>
    <mergeCell ref="D17:D22"/>
    <mergeCell ref="E17:E22"/>
    <mergeCell ref="F17:F22"/>
    <mergeCell ref="G17:G22"/>
    <mergeCell ref="I17:I21"/>
    <mergeCell ref="J17:J21"/>
    <mergeCell ref="J22:AI22"/>
    <mergeCell ref="P15:AI15"/>
    <mergeCell ref="J16:AI16"/>
    <mergeCell ref="G11:G16"/>
    <mergeCell ref="D11:D16"/>
    <mergeCell ref="E11:E16"/>
    <mergeCell ref="S17:S20"/>
    <mergeCell ref="AB11:AB12"/>
    <mergeCell ref="AD11:AD12"/>
    <mergeCell ref="AE11:AE12"/>
    <mergeCell ref="AH12:AI12"/>
    <mergeCell ref="D4:J4"/>
    <mergeCell ref="D8:D10"/>
    <mergeCell ref="E8:E10"/>
    <mergeCell ref="J8:J10"/>
    <mergeCell ref="AH9:AH10"/>
    <mergeCell ref="Z9:AA10"/>
    <mergeCell ref="AF9:AG10"/>
    <mergeCell ref="X9:Y9"/>
    <mergeCell ref="V9:V10"/>
    <mergeCell ref="T9:U10"/>
    <mergeCell ref="L8:P8"/>
    <mergeCell ref="R8:V8"/>
    <mergeCell ref="X8:AB8"/>
    <mergeCell ref="AD8:AH8"/>
    <mergeCell ref="F8:G8"/>
    <mergeCell ref="F9:F10"/>
    <mergeCell ref="G9:G10"/>
    <mergeCell ref="N9:O10"/>
    <mergeCell ref="H8:I10"/>
    <mergeCell ref="AB9:AB10"/>
    <mergeCell ref="AD9:AE9"/>
  </mergeCells>
  <dataValidations count="2">
    <dataValidation type="list" errorStyle="warning" allowBlank="1" showInputMessage="1" errorTitle="Ошибка" error="Выберите значение из списка" prompt="Выберите значение из списка или укажите свой вид твердых коммунальных отходов" sqref="AC17 AC23 AC35 AC29 AC11">
      <formula1>list_typeTKO</formula1>
    </dataValidation>
    <dataValidation type="textLength" operator="lessThanOrEqual" allowBlank="1" showInputMessage="1" showErrorMessage="1" errorTitle="Ошибка" error="Допускается ввод не более 900 символов!" sqref="AI29 AI23 P17:P20 J23:J27 J29:J33 AI35 J35:J39 P35:P38 P29:P32 AI17 J17:J21 P23:P26 AI11 J11:J15 P11:P14">
      <formula1>900</formula1>
    </dataValidation>
  </dataValidations>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6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C99"/>
  </sheetPr>
  <dimension ref="A1"/>
  <sheetViews>
    <sheetView showGridLines="0" workbookViewId="0"/>
  </sheetViews>
  <sheetFormatPr defaultRowHeight="11.25" customHeight="1"/>
  <sheetData/>
  <sheetProtection insertRows="0" deleteColumns="0" deleteRows="0" sort="0" autoFilter="0"/>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6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EAEBEE"/>
    <pageSetUpPr fitToPage="1"/>
  </sheetPr>
  <dimension ref="A1:L15"/>
  <sheetViews>
    <sheetView showGridLines="0" topLeftCell="C4" zoomScale="90" workbookViewId="0"/>
  </sheetViews>
  <sheetFormatPr defaultColWidth="9.140625" defaultRowHeight="14.25" customHeight="1"/>
  <cols>
    <col min="1" max="1" width="9.140625" style="1722" hidden="1"/>
    <col min="2" max="2" width="9.140625" style="1797" hidden="1"/>
    <col min="3" max="3" width="3.7109375" style="1723" customWidth="1"/>
    <col min="4" max="4" width="7" style="1797" customWidth="1"/>
    <col min="5" max="5" width="23.140625" style="1797" customWidth="1"/>
    <col min="6" max="6" width="16" style="1797" customWidth="1"/>
    <col min="7" max="7" width="14.85546875" style="1797" customWidth="1"/>
    <col min="8" max="8" width="47.85546875" style="1797" customWidth="1"/>
    <col min="9" max="9" width="115.7109375" style="1797" customWidth="1"/>
    <col min="10" max="10" width="3.7109375" style="1797" customWidth="1"/>
    <col min="11" max="12" width="9.140625" style="1797"/>
  </cols>
  <sheetData>
    <row r="1" spans="1:12" ht="14.25" hidden="1" customHeight="1"/>
    <row r="2" spans="1:12" ht="14.25" hidden="1" customHeight="1"/>
    <row r="3" spans="1:12" ht="14.25" hidden="1" customHeight="1"/>
    <row r="4" spans="1:12" ht="3" customHeight="1"/>
    <row r="5" spans="1:12" s="1829" customFormat="1" ht="30" customHeight="1">
      <c r="A5" s="49"/>
      <c r="C5" s="28"/>
      <c r="D5" s="1993" t="s">
        <v>2116</v>
      </c>
      <c r="E5" s="1993"/>
      <c r="F5" s="1993"/>
      <c r="G5" s="1993"/>
      <c r="H5" s="1993"/>
      <c r="I5" s="183"/>
    </row>
    <row r="6" spans="1:12" ht="3" hidden="1" customHeight="1">
      <c r="D6" s="53"/>
      <c r="E6" s="53"/>
      <c r="F6" s="53"/>
      <c r="G6" s="53"/>
      <c r="H6" s="53"/>
      <c r="I6" s="53"/>
    </row>
    <row r="7" spans="1:12" s="1722" customFormat="1" ht="14.25" customHeight="1">
      <c r="B7" s="50"/>
      <c r="C7" s="51"/>
      <c r="D7" s="54"/>
      <c r="E7" s="54"/>
      <c r="F7" s="54"/>
      <c r="G7" s="54"/>
      <c r="H7" s="664"/>
      <c r="I7" s="54"/>
      <c r="J7" s="55"/>
    </row>
    <row r="8" spans="1:12" ht="14.25" customHeight="1">
      <c r="D8" s="2097" t="s">
        <v>292</v>
      </c>
      <c r="E8" s="2097"/>
      <c r="F8" s="2097"/>
      <c r="G8" s="2097"/>
      <c r="H8" s="2097"/>
      <c r="I8" s="2097" t="s">
        <v>293</v>
      </c>
    </row>
    <row r="9" spans="1:12" ht="27.75" customHeight="1">
      <c r="D9" s="2097" t="s">
        <v>87</v>
      </c>
      <c r="E9" s="2097" t="s">
        <v>2117</v>
      </c>
      <c r="F9" s="2097"/>
      <c r="G9" s="2097"/>
      <c r="H9" s="2097"/>
      <c r="I9" s="2097"/>
    </row>
    <row r="10" spans="1:12" ht="22.5" customHeight="1">
      <c r="D10" s="2097"/>
      <c r="E10" s="58" t="s">
        <v>2118</v>
      </c>
      <c r="F10" s="58" t="s">
        <v>2119</v>
      </c>
      <c r="G10" s="58" t="s">
        <v>2120</v>
      </c>
      <c r="H10" s="58" t="s">
        <v>384</v>
      </c>
      <c r="I10" s="2097"/>
    </row>
    <row r="11" spans="1:12" ht="12" hidden="1" customHeight="1">
      <c r="D11" s="26" t="s">
        <v>108</v>
      </c>
      <c r="E11" s="26" t="s">
        <v>90</v>
      </c>
      <c r="F11" s="26" t="s">
        <v>110</v>
      </c>
      <c r="G11" s="26" t="s">
        <v>91</v>
      </c>
      <c r="H11" s="26" t="s">
        <v>92</v>
      </c>
      <c r="I11" s="26" t="s">
        <v>111</v>
      </c>
    </row>
    <row r="12" spans="1:12" s="1797" customFormat="1" ht="24.75" customHeight="1">
      <c r="A12" s="74" t="s">
        <v>89</v>
      </c>
      <c r="B12" s="56" t="s">
        <v>17</v>
      </c>
      <c r="C12" s="57"/>
      <c r="D12" s="59" t="s">
        <v>108</v>
      </c>
      <c r="E12" s="313"/>
      <c r="F12" s="313"/>
      <c r="G12" s="1591" t="s">
        <v>17</v>
      </c>
      <c r="H12" s="314"/>
      <c r="I12" s="2053" t="s">
        <v>2121</v>
      </c>
      <c r="K12" s="190"/>
      <c r="L12" s="191"/>
    </row>
    <row r="13" spans="1:12" ht="15" customHeight="1">
      <c r="A13" s="52"/>
      <c r="B13" s="52"/>
      <c r="C13" s="52"/>
      <c r="D13" s="45"/>
      <c r="E13" s="61" t="s">
        <v>1543</v>
      </c>
      <c r="F13" s="60"/>
      <c r="G13" s="60"/>
      <c r="H13" s="136"/>
      <c r="I13" s="2055"/>
    </row>
    <row r="14" spans="1:12" ht="3" customHeight="1">
      <c r="A14" s="52"/>
      <c r="B14" s="52"/>
      <c r="C14" s="52"/>
    </row>
    <row r="15" spans="1:12" ht="27.75" customHeight="1">
      <c r="E15" s="2381" t="s">
        <v>2122</v>
      </c>
      <c r="F15" s="2381"/>
      <c r="G15" s="2381"/>
      <c r="H15" s="2381"/>
    </row>
  </sheetData>
  <sheetProtection formatColumns="0" formatRows="0" insertRows="0" deleteColumns="0" deleteRows="0" sort="0" autoFilter="0"/>
  <mergeCells count="7">
    <mergeCell ref="E15:H15"/>
    <mergeCell ref="D5:H5"/>
    <mergeCell ref="I12:I13"/>
    <mergeCell ref="D8:H8"/>
    <mergeCell ref="I8:I10"/>
    <mergeCell ref="E9:H9"/>
    <mergeCell ref="D9:D10"/>
  </mergeCells>
  <dataValidations count="3">
    <dataValidation type="textLength" operator="lessThanOrEqual" allowBlank="1" showInputMessage="1" showErrorMessage="1" errorTitle="Ошибка" error="Допускается ввод не более 900 символов!" sqref="E12:F12">
      <formula1>900</formula1>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Мониторинг&quot;." sqref="H12">
      <formula1>900</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G12"/>
  </dataValidations>
  <printOptions horizontalCentered="1"/>
  <pageMargins left="0.24" right="0.24" top="0.24" bottom="0.24" header="0.24" footer="0.24"/>
  <pageSetup paperSize="9" scale="67" fitToHeight="0" orientation="landscape"/>
  <headerFooter>
    <oddHeader>&amp;L&amp;C&amp;R</oddHeader>
    <oddFooter>&amp;L&amp;C&amp;R</oddFooter>
    <evenHeader>&amp;L&amp;C&amp;R</evenHeader>
    <evenFooter>&amp;L&amp;C&amp;R</evenFooter>
  </headerFooter>
</worksheet>
</file>

<file path=xl/worksheets/sheet6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CCCCFF"/>
    <pageSetUpPr fitToPage="1"/>
  </sheetPr>
  <dimension ref="A1:I15"/>
  <sheetViews>
    <sheetView showGridLines="0" topLeftCell="C6" zoomScale="90" workbookViewId="0"/>
  </sheetViews>
  <sheetFormatPr defaultColWidth="9.140625" defaultRowHeight="14.25" customHeight="1"/>
  <cols>
    <col min="1" max="2" width="9.140625" style="1729" hidden="1"/>
    <col min="3" max="3" width="3.7109375" style="1725" customWidth="1"/>
    <col min="4" max="4" width="6.28515625" style="1729" customWidth="1"/>
    <col min="5" max="5" width="94.85546875" style="1729" customWidth="1"/>
    <col min="6" max="9" width="9.140625" style="1729"/>
  </cols>
  <sheetData>
    <row r="1" spans="3:9" ht="14.25" hidden="1" customHeight="1"/>
    <row r="2" spans="3:9" ht="14.25" hidden="1" customHeight="1"/>
    <row r="3" spans="3:9" ht="14.25" hidden="1" customHeight="1"/>
    <row r="4" spans="3:9" ht="14.25" hidden="1" customHeight="1"/>
    <row r="5" spans="3:9" ht="14.25" hidden="1" customHeight="1"/>
    <row r="6" spans="3:9" ht="3" customHeight="1">
      <c r="C6" s="30"/>
      <c r="D6" s="10"/>
      <c r="E6" s="10"/>
    </row>
    <row r="7" spans="3:9" ht="22.5" customHeight="1">
      <c r="C7" s="30"/>
      <c r="D7" s="2382" t="s">
        <v>2123</v>
      </c>
      <c r="E7" s="2383"/>
      <c r="F7" s="185"/>
    </row>
    <row r="8" spans="3:9" ht="3" customHeight="1">
      <c r="C8" s="30"/>
      <c r="D8" s="10"/>
      <c r="E8" s="10"/>
    </row>
    <row r="9" spans="3:9" ht="15.75" customHeight="1">
      <c r="C9" s="30"/>
      <c r="D9" s="41" t="s">
        <v>87</v>
      </c>
      <c r="E9" s="178" t="s">
        <v>2124</v>
      </c>
    </row>
    <row r="10" spans="3:9" ht="12" customHeight="1">
      <c r="C10" s="30"/>
      <c r="D10" s="26" t="s">
        <v>108</v>
      </c>
      <c r="E10" s="26" t="s">
        <v>109</v>
      </c>
    </row>
    <row r="11" spans="3:9" ht="11.25" hidden="1" customHeight="1">
      <c r="C11" s="30"/>
      <c r="D11" s="79">
        <v>0</v>
      </c>
      <c r="E11" s="179"/>
    </row>
    <row r="12" spans="3:9" ht="15" customHeight="1">
      <c r="C12" s="67"/>
      <c r="D12" s="48">
        <v>1</v>
      </c>
      <c r="E12" s="307"/>
    </row>
    <row r="13" spans="3:9" ht="12" customHeight="1">
      <c r="C13" s="30"/>
      <c r="D13" s="180"/>
      <c r="E13" s="181" t="s">
        <v>2125</v>
      </c>
    </row>
    <row r="14" spans="3:9" ht="3" customHeight="1"/>
    <row r="15" spans="3:9" ht="22.5" customHeight="1">
      <c r="C15" s="68"/>
      <c r="D15" s="2381" t="s">
        <v>2126</v>
      </c>
      <c r="E15" s="2381"/>
      <c r="F15" s="69"/>
      <c r="G15" s="69"/>
      <c r="H15" s="69"/>
      <c r="I15" s="69"/>
    </row>
  </sheetData>
  <sheetProtection formatColumns="0" formatRows="0" insertRows="0" deleteColumns="0" deleteRows="0" sort="0" autoFilter="0"/>
  <mergeCells count="2">
    <mergeCell ref="D7:E7"/>
    <mergeCell ref="D15:E15"/>
  </mergeCells>
  <dataValidations count="1">
    <dataValidation type="textLength" operator="lessThanOrEqual" allowBlank="1" showInputMessage="1" showErrorMessage="1" errorTitle="Ошибка" error="Допускается ввод не более 900 символов!" sqref="E11:E12">
      <formula1>900</formula1>
    </dataValidation>
  </dataValidations>
  <pageMargins left="0.75" right="0.75" top="1" bottom="1" header="0.5" footer="0.5"/>
  <pageSetup paperSize="9" scale="94" orientation="portrait"/>
  <headerFooter>
    <oddHeader>&amp;L&amp;C&amp;R</oddHeader>
    <oddFooter>&amp;L&amp;C&amp;R</oddFooter>
    <evenHeader>&amp;L&amp;C&amp;R</evenHeader>
    <evenFooter>&amp;L&amp;C&amp;R</evenFooter>
  </headerFooter>
</worksheet>
</file>

<file path=xl/worksheets/sheet6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24"/>
  <sheetViews>
    <sheetView showGridLines="0" topLeftCell="C4" zoomScale="90" workbookViewId="0"/>
  </sheetViews>
  <sheetFormatPr defaultColWidth="9.140625" defaultRowHeight="11.25" customHeight="1"/>
  <cols>
    <col min="1" max="2" width="15" style="1641" hidden="1" customWidth="1"/>
    <col min="3" max="3" width="3.7109375" style="1646" customWidth="1"/>
    <col min="4" max="4" width="6.85546875" style="1647" customWidth="1"/>
    <col min="5" max="5" width="52.28515625" style="1646" customWidth="1"/>
    <col min="6" max="6" width="48.85546875" style="1646" customWidth="1"/>
    <col min="7" max="7" width="93.42578125" style="1646" customWidth="1"/>
    <col min="8" max="8" width="9.140625" style="1646"/>
    <col min="9" max="9" width="65" style="1646" customWidth="1"/>
  </cols>
  <sheetData>
    <row r="1" spans="1:9" ht="11.25" hidden="1" customHeight="1">
      <c r="A1" s="429" t="s">
        <v>291</v>
      </c>
    </row>
    <row r="2" spans="1:9" ht="22.5" hidden="1" customHeight="1">
      <c r="A2" s="430"/>
      <c r="B2" s="430"/>
      <c r="C2" s="387"/>
      <c r="D2" s="1383"/>
      <c r="E2" s="1389"/>
      <c r="F2" s="1417"/>
      <c r="H2" s="404"/>
    </row>
    <row r="3" spans="1:9" ht="11.25" hidden="1" customHeight="1"/>
    <row r="4" spans="1:9" ht="11.25" customHeight="1">
      <c r="A4" s="1418"/>
      <c r="B4" s="1418"/>
    </row>
    <row r="5" spans="1:9" ht="36.75" customHeight="1">
      <c r="D5" s="2000" t="str">
        <f>"Форма 1. Информация об органе регулирования тарифов в сфере "&amp;IF(TEMPLATE_SPHERE="HEAT","теплоснабжения","водоснабжения и водоотведения")&amp;" (далее – орган регулирования тарифов)"</f>
        <v>Форма 1. Информация об органе регулирования тарифов в сфере водоснабжения и водоотведения (далее – орган регулирования тарифов)</v>
      </c>
      <c r="E5" s="2001"/>
      <c r="F5" s="2002"/>
      <c r="I5" s="628"/>
    </row>
    <row r="6" spans="1:9" ht="17.25" customHeight="1">
      <c r="D6" s="2099" t="str">
        <f>IF(region_name=0,"Не определено",region_name)</f>
        <v>Астраханская область</v>
      </c>
      <c r="E6" s="2099"/>
      <c r="F6" s="2099"/>
      <c r="I6" s="628"/>
    </row>
    <row r="7" spans="1:9" s="1640" customFormat="1" ht="11.25" customHeight="1">
      <c r="A7" s="429"/>
      <c r="B7" s="429"/>
      <c r="D7" s="627"/>
      <c r="E7" s="627"/>
      <c r="F7" s="664"/>
      <c r="G7" s="627"/>
    </row>
    <row r="8" spans="1:9" ht="11.25" hidden="1" customHeight="1">
      <c r="A8" s="430"/>
      <c r="B8" s="430"/>
      <c r="C8" s="387"/>
      <c r="D8" s="392"/>
      <c r="E8" s="2095"/>
      <c r="F8" s="2095"/>
    </row>
    <row r="9" spans="1:9" ht="11.25" customHeight="1">
      <c r="A9" s="430"/>
      <c r="B9" s="430"/>
      <c r="C9" s="387"/>
      <c r="D9" s="2091" t="s">
        <v>292</v>
      </c>
      <c r="E9" s="2092"/>
      <c r="F9" s="2092"/>
      <c r="G9" s="2096" t="s">
        <v>293</v>
      </c>
    </row>
    <row r="10" spans="1:9" ht="11.25" customHeight="1">
      <c r="A10" s="430"/>
      <c r="B10" s="430"/>
      <c r="C10" s="387"/>
      <c r="D10" s="1334" t="s">
        <v>87</v>
      </c>
      <c r="E10" s="1336" t="s">
        <v>294</v>
      </c>
      <c r="F10" s="1336" t="s">
        <v>295</v>
      </c>
      <c r="G10" s="2097"/>
    </row>
    <row r="11" spans="1:9" ht="12" customHeight="1">
      <c r="A11" s="430"/>
      <c r="B11" s="430"/>
      <c r="C11" s="387"/>
      <c r="D11" s="393"/>
      <c r="E11" s="393"/>
      <c r="F11" s="393"/>
      <c r="G11" s="393"/>
    </row>
    <row r="12" spans="1:9" ht="22.5" customHeight="1">
      <c r="A12" s="430"/>
      <c r="B12" s="430"/>
      <c r="C12" s="387"/>
      <c r="D12" s="1383">
        <v>1</v>
      </c>
      <c r="E12" s="403" t="s">
        <v>2127</v>
      </c>
      <c r="F12" s="1389"/>
      <c r="G12" s="403" t="s">
        <v>2128</v>
      </c>
      <c r="H12" s="1395"/>
    </row>
    <row r="13" spans="1:9" ht="18.75" customHeight="1">
      <c r="A13" s="430"/>
      <c r="B13" s="430"/>
      <c r="C13" s="387"/>
      <c r="D13" s="1383">
        <v>2</v>
      </c>
      <c r="E13" s="1390" t="s">
        <v>2129</v>
      </c>
      <c r="F13" s="1384" t="s">
        <v>298</v>
      </c>
      <c r="G13" s="403"/>
      <c r="H13" s="1395"/>
    </row>
    <row r="14" spans="1:9" ht="18.75" customHeight="1">
      <c r="A14" s="430"/>
      <c r="B14" s="430"/>
      <c r="C14" s="387"/>
      <c r="D14" s="1386" t="s">
        <v>505</v>
      </c>
      <c r="E14" s="1387" t="s">
        <v>2130</v>
      </c>
      <c r="F14" s="1389"/>
      <c r="G14" s="1388" t="s">
        <v>2131</v>
      </c>
      <c r="H14" s="1395"/>
    </row>
    <row r="15" spans="1:9" ht="18.75" customHeight="1">
      <c r="A15" s="430"/>
      <c r="B15" s="430"/>
      <c r="C15" s="387"/>
      <c r="D15" s="1386" t="s">
        <v>299</v>
      </c>
      <c r="E15" s="1387" t="s">
        <v>2132</v>
      </c>
      <c r="F15" s="1389"/>
      <c r="G15" s="1388" t="s">
        <v>2133</v>
      </c>
      <c r="H15" s="1395"/>
    </row>
    <row r="16" spans="1:9" ht="36.75" customHeight="1">
      <c r="A16" s="430"/>
      <c r="B16" s="430"/>
      <c r="C16" s="387"/>
      <c r="D16" s="1386" t="s">
        <v>302</v>
      </c>
      <c r="E16" s="1385" t="s">
        <v>2134</v>
      </c>
      <c r="F16" s="1393"/>
      <c r="G16" s="403" t="s">
        <v>2135</v>
      </c>
      <c r="H16" s="1395"/>
    </row>
    <row r="17" spans="1:9" ht="45" customHeight="1">
      <c r="A17" s="430"/>
      <c r="B17" s="430"/>
      <c r="C17" s="387"/>
      <c r="D17" s="1383">
        <v>3</v>
      </c>
      <c r="E17" s="1390" t="s">
        <v>2136</v>
      </c>
      <c r="F17" s="1389"/>
      <c r="G17" s="403" t="s">
        <v>2137</v>
      </c>
      <c r="H17" s="1395"/>
    </row>
    <row r="18" spans="1:9" ht="45" customHeight="1">
      <c r="A18" s="1335">
        <v>1</v>
      </c>
      <c r="B18" s="430"/>
      <c r="C18" s="1337"/>
      <c r="D18" s="1383" t="s">
        <v>90</v>
      </c>
      <c r="E18" s="1390" t="s">
        <v>2138</v>
      </c>
      <c r="F18" s="1389"/>
      <c r="G18" s="403" t="s">
        <v>2137</v>
      </c>
      <c r="H18" s="1395"/>
      <c r="I18" s="753"/>
    </row>
    <row r="19" spans="1:9" ht="22.5" customHeight="1">
      <c r="A19" s="430"/>
      <c r="B19" s="430"/>
      <c r="C19" s="387"/>
      <c r="D19" s="1383" t="s">
        <v>110</v>
      </c>
      <c r="E19" s="1390" t="s">
        <v>2139</v>
      </c>
      <c r="F19" s="1384" t="s">
        <v>298</v>
      </c>
      <c r="G19" s="2384" t="s">
        <v>2140</v>
      </c>
      <c r="H19" s="404"/>
    </row>
    <row r="20" spans="1:9" s="1726" customFormat="1" ht="5.25" hidden="1" customHeight="1">
      <c r="A20" s="430"/>
      <c r="B20" s="430"/>
      <c r="C20" s="1392"/>
      <c r="D20" s="1391" t="s">
        <v>1626</v>
      </c>
      <c r="E20" s="906"/>
      <c r="F20" s="905"/>
      <c r="G20" s="2385"/>
    </row>
    <row r="21" spans="1:9" ht="15" customHeight="1">
      <c r="A21" s="430"/>
      <c r="B21" s="430"/>
      <c r="C21" s="387"/>
      <c r="D21" s="396"/>
      <c r="E21" s="350" t="s">
        <v>333</v>
      </c>
      <c r="F21" s="398"/>
      <c r="G21" s="2386"/>
      <c r="H21" s="1395"/>
    </row>
    <row r="22" spans="1:9" s="1641" customFormat="1" ht="24.75" customHeight="1">
      <c r="A22" s="430"/>
      <c r="B22" s="430"/>
      <c r="C22" s="430"/>
      <c r="D22" s="1383" t="s">
        <v>91</v>
      </c>
      <c r="E22" s="403" t="s">
        <v>2141</v>
      </c>
      <c r="F22" s="1389"/>
      <c r="G22" s="403" t="s">
        <v>2142</v>
      </c>
      <c r="H22" s="1394"/>
    </row>
    <row r="23" spans="1:9" s="1641" customFormat="1" ht="18.75" customHeight="1">
      <c r="A23" s="430"/>
      <c r="B23" s="430"/>
      <c r="C23" s="430"/>
      <c r="D23" s="1383" t="s">
        <v>92</v>
      </c>
      <c r="E23" s="1390" t="s">
        <v>2143</v>
      </c>
      <c r="F23" s="1393"/>
      <c r="G23" s="403" t="s">
        <v>2144</v>
      </c>
      <c r="H23" s="1394"/>
    </row>
    <row r="24" spans="1:9" ht="11.25" customHeight="1">
      <c r="A24" s="430"/>
      <c r="B24" s="430"/>
      <c r="C24" s="387"/>
    </row>
  </sheetData>
  <sheetProtection formatColumns="0" formatRows="0" insertRows="0" deleteColumns="0" deleteRows="0" sort="0" autoFilter="0"/>
  <mergeCells count="6">
    <mergeCell ref="G19:G21"/>
    <mergeCell ref="D5:F5"/>
    <mergeCell ref="D6:F6"/>
    <mergeCell ref="E8:F8"/>
    <mergeCell ref="D9:F9"/>
    <mergeCell ref="G9:G10"/>
  </mergeCells>
  <dataValidations count="1">
    <dataValidation type="textLength" operator="lessThanOrEqual" allowBlank="1" showInputMessage="1" showErrorMessage="1" errorTitle="Ошибка" error="Допускается ввод не более 900 символов!" sqref="F12 F14:F18 F22:F23">
      <formula1>900</formula1>
    </dataValidation>
  </dataValidation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6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T23"/>
  <sheetViews>
    <sheetView showGridLines="0" topLeftCell="D4" zoomScale="90" workbookViewId="0"/>
  </sheetViews>
  <sheetFormatPr defaultColWidth="9.140625" defaultRowHeight="14.25" customHeight="1"/>
  <cols>
    <col min="1" max="1" width="9.140625" style="1829" hidden="1"/>
    <col min="2" max="2" width="9.140625" style="1742" hidden="1"/>
    <col min="3" max="3" width="3.7109375" style="1829" hidden="1" customWidth="1"/>
    <col min="4" max="4" width="3.85546875" style="1743" customWidth="1"/>
    <col min="5" max="5" width="6.28515625" style="1829" customWidth="1"/>
    <col min="6" max="6" width="46.7109375" style="1829" customWidth="1"/>
    <col min="7" max="8" width="16.7109375" style="1829" customWidth="1"/>
    <col min="9" max="9" width="35.28515625" style="1829" customWidth="1"/>
    <col min="10" max="10" width="89.5703125" style="1829" customWidth="1"/>
    <col min="11" max="11" width="3.7109375" style="1748" customWidth="1"/>
    <col min="12" max="14" width="9.140625" style="1748"/>
    <col min="15" max="15" width="25.7109375" style="1748" customWidth="1"/>
    <col min="16" max="16" width="14.42578125" style="1748" customWidth="1"/>
    <col min="17" max="20" width="9.140625" style="1749"/>
    <col min="21" max="254" width="9.140625" style="1829"/>
  </cols>
  <sheetData>
    <row r="1" spans="1:254" ht="14.25" hidden="1" customHeight="1"/>
    <row r="2" spans="1:254" s="1969" customFormat="1" ht="22.5" hidden="1" customHeight="1">
      <c r="A2" s="736"/>
      <c r="B2" s="1034">
        <v>1</v>
      </c>
      <c r="C2" s="1034"/>
      <c r="D2" s="707"/>
      <c r="E2" s="1344"/>
      <c r="F2" s="1351"/>
      <c r="G2" s="1351"/>
      <c r="H2" s="1351"/>
      <c r="I2" s="1400"/>
      <c r="J2" s="150"/>
      <c r="K2" s="1397" t="e">
        <f ca="1">MERGEVALUE(F2)</f>
        <v>#NAME?</v>
      </c>
      <c r="L2" s="439"/>
      <c r="M2" s="439"/>
      <c r="N2" s="428" t="str">
        <f t="array" ref="N2">IF(ISERROR(MATCH(MID(O2,1,250),MID(note_ter,1,250),0)),"n","y")</f>
        <v>n</v>
      </c>
      <c r="O2" s="439"/>
      <c r="P2" s="428" t="str">
        <f>G2&amp;"("&amp;J2&amp;")"</f>
        <v>()</v>
      </c>
      <c r="Q2" s="1034"/>
      <c r="R2" s="1034"/>
      <c r="S2" s="354"/>
      <c r="T2" s="1034"/>
      <c r="U2" s="1034"/>
      <c r="V2" s="1034"/>
      <c r="W2" s="356"/>
      <c r="X2" s="356"/>
      <c r="Y2" s="353"/>
      <c r="Z2" s="353"/>
      <c r="AA2" s="353"/>
      <c r="AB2" s="353"/>
      <c r="AC2" s="353"/>
      <c r="AD2" s="353"/>
      <c r="AE2" s="353"/>
      <c r="AF2" s="353"/>
      <c r="AG2" s="353"/>
      <c r="AH2" s="353"/>
      <c r="AI2" s="353"/>
      <c r="AJ2" s="353"/>
      <c r="AK2" s="353"/>
      <c r="AL2" s="353"/>
      <c r="AM2" s="353"/>
      <c r="AN2" s="353"/>
      <c r="AO2" s="353"/>
      <c r="AP2" s="353"/>
      <c r="AQ2" s="353"/>
      <c r="AR2" s="353"/>
      <c r="AS2" s="353"/>
      <c r="AT2" s="353"/>
      <c r="AU2" s="353"/>
      <c r="AV2" s="353"/>
      <c r="AW2" s="353"/>
      <c r="AX2" s="353"/>
      <c r="AY2" s="353"/>
      <c r="AZ2" s="353"/>
      <c r="BA2" s="353"/>
      <c r="BB2" s="353"/>
      <c r="BC2" s="353"/>
      <c r="BD2" s="353"/>
      <c r="BE2" s="353"/>
      <c r="BF2" s="353"/>
      <c r="BG2" s="353"/>
      <c r="BH2" s="353"/>
      <c r="BI2" s="353"/>
      <c r="BJ2" s="353"/>
      <c r="BK2" s="353"/>
      <c r="BL2" s="353"/>
      <c r="BM2" s="353"/>
      <c r="BN2" s="353"/>
      <c r="BO2" s="353"/>
      <c r="BP2" s="353"/>
      <c r="BQ2" s="353"/>
      <c r="BR2" s="353"/>
      <c r="BS2" s="353"/>
      <c r="BT2" s="356"/>
      <c r="BU2" s="356"/>
      <c r="BV2" s="356"/>
      <c r="BW2" s="356"/>
      <c r="BX2" s="356"/>
      <c r="BY2" s="356"/>
      <c r="BZ2" s="356"/>
      <c r="CA2" s="356"/>
      <c r="CB2" s="356"/>
      <c r="CC2" s="356"/>
    </row>
    <row r="3" spans="1:254" s="1755" customFormat="1" ht="5.25" hidden="1" customHeight="1">
      <c r="A3" s="424"/>
      <c r="D3" s="422"/>
      <c r="F3" s="166" t="s">
        <v>82</v>
      </c>
      <c r="G3" s="422" t="s">
        <v>83</v>
      </c>
      <c r="H3" s="422"/>
      <c r="I3" s="422"/>
      <c r="J3" s="149" t="s">
        <v>84</v>
      </c>
      <c r="K3" s="166" t="s">
        <v>82</v>
      </c>
      <c r="L3" s="166"/>
      <c r="M3" s="166"/>
      <c r="N3" s="166"/>
      <c r="O3" s="167"/>
      <c r="P3" s="166"/>
      <c r="Q3" s="166"/>
      <c r="R3" s="166"/>
      <c r="S3" s="166"/>
      <c r="T3" s="166"/>
      <c r="U3" s="149"/>
      <c r="V3" s="149"/>
      <c r="W3" s="149"/>
      <c r="X3" s="149"/>
      <c r="Y3" s="149"/>
      <c r="Z3" s="149"/>
      <c r="AA3" s="149"/>
      <c r="AB3" s="149"/>
      <c r="AC3" s="149"/>
      <c r="AD3" s="149"/>
      <c r="AE3" s="149"/>
      <c r="AF3" s="149"/>
      <c r="AG3" s="149"/>
      <c r="AH3" s="149"/>
      <c r="AI3" s="149"/>
      <c r="AJ3" s="149"/>
      <c r="AK3" s="149"/>
      <c r="AL3" s="149"/>
      <c r="AM3" s="149"/>
      <c r="AN3" s="149"/>
      <c r="AO3" s="149"/>
      <c r="AP3" s="149"/>
      <c r="AQ3" s="149"/>
      <c r="AR3" s="149"/>
      <c r="AS3" s="149"/>
      <c r="AT3" s="149"/>
      <c r="AU3" s="149"/>
      <c r="AV3" s="149"/>
      <c r="AW3" s="149"/>
      <c r="AX3" s="149"/>
      <c r="AY3" s="149"/>
      <c r="AZ3" s="149"/>
      <c r="BA3" s="149"/>
      <c r="BB3" s="149"/>
      <c r="BC3" s="149"/>
      <c r="BD3" s="149"/>
      <c r="BE3" s="149"/>
      <c r="BF3" s="149"/>
      <c r="BG3" s="149"/>
      <c r="BH3" s="149"/>
      <c r="BI3" s="149"/>
      <c r="BJ3" s="149"/>
      <c r="BK3" s="149"/>
      <c r="BL3" s="149"/>
      <c r="BM3" s="149"/>
      <c r="BN3" s="149"/>
      <c r="BO3" s="149"/>
      <c r="BP3" s="149"/>
      <c r="BQ3" s="149"/>
      <c r="BR3" s="149"/>
      <c r="BS3" s="149"/>
      <c r="BT3" s="149"/>
      <c r="BU3" s="149"/>
      <c r="BV3" s="149"/>
      <c r="BW3" s="149"/>
      <c r="BX3" s="149"/>
      <c r="BY3" s="149"/>
      <c r="BZ3" s="149"/>
      <c r="CA3" s="149"/>
      <c r="CB3" s="149"/>
      <c r="CC3" s="149"/>
      <c r="CD3" s="149"/>
      <c r="CE3" s="149"/>
      <c r="CF3" s="149"/>
      <c r="CG3" s="149"/>
      <c r="CH3" s="149"/>
      <c r="CI3" s="149"/>
      <c r="CJ3" s="149"/>
      <c r="CK3" s="149"/>
      <c r="CL3" s="149"/>
      <c r="CM3" s="149"/>
      <c r="CN3" s="149"/>
      <c r="CO3" s="149"/>
      <c r="CP3" s="149"/>
      <c r="CQ3" s="149"/>
      <c r="CR3" s="149"/>
      <c r="CS3" s="149"/>
      <c r="CT3" s="149"/>
      <c r="CU3" s="149"/>
      <c r="CV3" s="149"/>
      <c r="CW3" s="149"/>
      <c r="CX3" s="149"/>
      <c r="CY3" s="149"/>
      <c r="CZ3" s="149"/>
      <c r="DA3" s="149"/>
      <c r="DB3" s="149"/>
      <c r="DC3" s="149"/>
      <c r="DD3" s="149"/>
      <c r="DE3" s="149"/>
      <c r="DF3" s="149"/>
      <c r="DG3" s="149"/>
      <c r="DH3" s="149"/>
      <c r="DI3" s="149"/>
      <c r="DJ3" s="149"/>
      <c r="DK3" s="149"/>
      <c r="DL3" s="149"/>
      <c r="DM3" s="149"/>
      <c r="DN3" s="149"/>
      <c r="DO3" s="149"/>
      <c r="DP3" s="149"/>
      <c r="DQ3" s="149"/>
      <c r="DR3" s="149"/>
      <c r="DS3" s="149"/>
      <c r="DT3" s="149"/>
      <c r="DU3" s="149"/>
      <c r="DV3" s="149"/>
      <c r="DW3" s="149"/>
      <c r="DX3" s="149"/>
      <c r="DY3" s="149"/>
      <c r="DZ3" s="149"/>
      <c r="EA3" s="149"/>
      <c r="EB3" s="149"/>
      <c r="EC3" s="149"/>
      <c r="ED3" s="149"/>
      <c r="EE3" s="149"/>
      <c r="EF3" s="149"/>
      <c r="EG3" s="149"/>
      <c r="EH3" s="149"/>
      <c r="EI3" s="149"/>
      <c r="EJ3" s="149"/>
      <c r="EK3" s="149"/>
      <c r="EL3" s="149"/>
      <c r="EM3" s="149"/>
      <c r="EN3" s="149"/>
      <c r="EO3" s="149"/>
      <c r="EP3" s="149"/>
      <c r="EQ3" s="149"/>
      <c r="ER3" s="149"/>
      <c r="ES3" s="149"/>
      <c r="ET3" s="149"/>
      <c r="EU3" s="149"/>
      <c r="EV3" s="149"/>
      <c r="EW3" s="149"/>
      <c r="EX3" s="149"/>
      <c r="EY3" s="149"/>
      <c r="EZ3" s="149"/>
      <c r="FA3" s="149"/>
      <c r="FB3" s="149"/>
      <c r="FC3" s="149"/>
      <c r="FD3" s="149"/>
      <c r="FE3" s="149"/>
      <c r="FF3" s="149"/>
      <c r="FG3" s="149"/>
      <c r="FH3" s="149"/>
      <c r="FI3" s="149"/>
      <c r="FJ3" s="149"/>
      <c r="FK3" s="149"/>
      <c r="FL3" s="149"/>
      <c r="FM3" s="149"/>
      <c r="FN3" s="149"/>
      <c r="FO3" s="149"/>
      <c r="FP3" s="149"/>
      <c r="FQ3" s="149"/>
      <c r="FR3" s="149"/>
      <c r="FS3" s="149"/>
      <c r="FT3" s="149"/>
      <c r="FU3" s="149"/>
      <c r="FV3" s="149"/>
      <c r="FW3" s="149"/>
      <c r="FX3" s="149"/>
      <c r="FY3" s="149"/>
      <c r="FZ3" s="149"/>
      <c r="GA3" s="149"/>
      <c r="GB3" s="149"/>
      <c r="GC3" s="149"/>
      <c r="GD3" s="149"/>
      <c r="GE3" s="149"/>
      <c r="GF3" s="149"/>
      <c r="GG3" s="149"/>
      <c r="GH3" s="149"/>
      <c r="GI3" s="149"/>
      <c r="GJ3" s="149"/>
      <c r="GK3" s="149"/>
      <c r="GL3" s="149"/>
      <c r="GM3" s="149"/>
      <c r="GN3" s="149"/>
      <c r="GO3" s="149"/>
      <c r="GP3" s="149"/>
      <c r="GQ3" s="149"/>
      <c r="GR3" s="149"/>
      <c r="GS3" s="149"/>
      <c r="GT3" s="149"/>
      <c r="GU3" s="149"/>
      <c r="GV3" s="149"/>
      <c r="GW3" s="149"/>
      <c r="GX3" s="149"/>
      <c r="GY3" s="149"/>
      <c r="GZ3" s="149"/>
      <c r="HA3" s="149"/>
      <c r="HB3" s="149"/>
      <c r="HC3" s="149"/>
      <c r="HD3" s="149"/>
      <c r="HE3" s="149"/>
      <c r="HF3" s="149"/>
      <c r="HG3" s="149"/>
      <c r="HH3" s="149"/>
      <c r="HI3" s="149"/>
      <c r="HJ3" s="149"/>
      <c r="HK3" s="149"/>
      <c r="HL3" s="149"/>
      <c r="HM3" s="149"/>
      <c r="HN3" s="149"/>
      <c r="HO3" s="149"/>
      <c r="HP3" s="149"/>
      <c r="HQ3" s="149"/>
      <c r="HR3" s="149"/>
      <c r="HS3" s="149"/>
      <c r="HT3" s="149"/>
      <c r="HU3" s="149"/>
      <c r="HV3" s="149"/>
      <c r="HW3" s="149"/>
      <c r="HX3" s="149"/>
      <c r="HY3" s="149"/>
      <c r="HZ3" s="149"/>
      <c r="IA3" s="149"/>
      <c r="IB3" s="149"/>
      <c r="IC3" s="149"/>
      <c r="ID3" s="149"/>
      <c r="IE3" s="149"/>
      <c r="IF3" s="149"/>
      <c r="IG3" s="149"/>
      <c r="IH3" s="149"/>
      <c r="II3" s="149"/>
      <c r="IJ3" s="149"/>
      <c r="IK3" s="149"/>
      <c r="IL3" s="149"/>
      <c r="IM3" s="149"/>
      <c r="IN3" s="149"/>
      <c r="IO3" s="149"/>
      <c r="IP3" s="149"/>
      <c r="IQ3" s="149"/>
      <c r="IR3" s="149"/>
      <c r="IS3" s="149"/>
      <c r="IT3" s="149"/>
    </row>
    <row r="4" spans="1:254" s="1648" customFormat="1" ht="14.25" customHeight="1">
      <c r="A4" s="1029"/>
      <c r="B4" s="1034"/>
      <c r="C4" s="1029"/>
      <c r="D4" s="1355"/>
      <c r="E4" s="437"/>
      <c r="F4" s="437"/>
      <c r="G4" s="437"/>
      <c r="H4" s="437"/>
      <c r="I4" s="437"/>
      <c r="J4" s="94"/>
      <c r="K4" s="166"/>
      <c r="L4" s="428"/>
      <c r="M4" s="428"/>
      <c r="N4" s="428"/>
      <c r="O4" s="148"/>
      <c r="P4" s="428"/>
      <c r="Q4" s="147"/>
      <c r="R4" s="147"/>
      <c r="S4" s="147"/>
      <c r="T4" s="147"/>
    </row>
    <row r="5" spans="1:254" s="1648" customFormat="1" ht="25.5" customHeight="1">
      <c r="A5" s="1029"/>
      <c r="B5" s="1034"/>
      <c r="C5" s="1029"/>
      <c r="D5" s="1355"/>
      <c r="E5" s="1993" t="str">
        <f>"Форма 2. Перечень "&amp;IF(TEMPLATE_SPHERE="HEAT","регулируемых организаций (единых теплоснабжающих организаций в ценовых зонах теплоснабжения, теплоснабжающих организаций в ценовых зонах теплоснабжения и теплосетевых организаций в ценовых зонах теплоснабжения)","организаций, в отношении которых орган регулирования тарифов осуществляет регулирование тарифов в сфере водоснабжения и водоотведения")</f>
        <v>Форма 2. Перечень организаций, в отношении которых орган регулирования тарифов осуществляет регулирование тарифов в сфере водоснабжения и водоотведения</v>
      </c>
      <c r="F5" s="1993"/>
      <c r="G5" s="1993"/>
      <c r="H5" s="1993"/>
      <c r="I5" s="1993"/>
      <c r="J5" s="1993"/>
      <c r="K5" s="166"/>
      <c r="L5" s="428"/>
      <c r="M5" s="428"/>
      <c r="N5" s="428"/>
      <c r="O5" s="148"/>
      <c r="P5" s="428"/>
      <c r="Q5" s="147"/>
      <c r="R5" s="147"/>
      <c r="S5" s="147"/>
      <c r="T5" s="147"/>
    </row>
    <row r="6" spans="1:254" s="1648" customFormat="1" ht="14.25" customHeight="1">
      <c r="A6" s="1029"/>
      <c r="B6" s="1034"/>
      <c r="C6" s="1029"/>
      <c r="D6" s="1355"/>
      <c r="E6" s="437"/>
      <c r="F6" s="95"/>
      <c r="G6" s="95"/>
      <c r="H6" s="95"/>
      <c r="I6" s="95"/>
      <c r="J6" s="96"/>
      <c r="K6" s="428"/>
      <c r="L6" s="428"/>
      <c r="M6" s="428"/>
      <c r="N6" s="428"/>
      <c r="O6" s="148"/>
      <c r="P6" s="428"/>
      <c r="Q6" s="147"/>
      <c r="R6" s="147"/>
      <c r="S6" s="147"/>
      <c r="T6" s="147"/>
    </row>
    <row r="7" spans="1:254" s="1648" customFormat="1" ht="14.25" customHeight="1">
      <c r="A7" s="1029"/>
      <c r="B7" s="1034"/>
      <c r="C7" s="1029"/>
      <c r="D7" s="1355"/>
      <c r="E7" s="1989" t="s">
        <v>292</v>
      </c>
      <c r="F7" s="1994"/>
      <c r="G7" s="1994"/>
      <c r="H7" s="1994"/>
      <c r="I7" s="1994"/>
      <c r="J7" s="2387" t="s">
        <v>293</v>
      </c>
      <c r="K7" s="428"/>
      <c r="L7" s="428"/>
      <c r="M7" s="428"/>
      <c r="N7" s="428"/>
      <c r="O7" s="148"/>
      <c r="P7" s="428"/>
      <c r="Q7" s="147"/>
      <c r="R7" s="147"/>
      <c r="S7" s="147"/>
      <c r="T7" s="147"/>
    </row>
    <row r="8" spans="1:254" s="1648" customFormat="1" ht="20.25" customHeight="1">
      <c r="A8" s="1029"/>
      <c r="B8" s="1034"/>
      <c r="C8" s="1029"/>
      <c r="D8" s="1355"/>
      <c r="E8" s="1416" t="s">
        <v>87</v>
      </c>
      <c r="F8" s="1402" t="s">
        <v>2145</v>
      </c>
      <c r="G8" s="1402" t="s">
        <v>47</v>
      </c>
      <c r="H8" s="1402" t="s">
        <v>49</v>
      </c>
      <c r="I8" s="1402" t="s">
        <v>2146</v>
      </c>
      <c r="J8" s="2388"/>
      <c r="K8" s="428"/>
      <c r="L8" s="428"/>
      <c r="M8" s="428"/>
      <c r="N8" s="428"/>
      <c r="O8" s="148"/>
      <c r="P8" s="428"/>
      <c r="Q8" s="147"/>
      <c r="R8" s="147"/>
      <c r="S8" s="147"/>
      <c r="T8" s="147"/>
    </row>
    <row r="9" spans="1:254" s="1969" customFormat="1" ht="22.5" customHeight="1">
      <c r="A9" s="1992"/>
      <c r="B9" s="1034">
        <v>1</v>
      </c>
      <c r="C9" s="1034"/>
      <c r="D9" s="707"/>
      <c r="E9" s="1344">
        <v>1</v>
      </c>
      <c r="F9" s="1415"/>
      <c r="G9" s="1351"/>
      <c r="H9" s="1351"/>
      <c r="I9" s="1400"/>
      <c r="J9" s="2389" t="s">
        <v>2147</v>
      </c>
      <c r="K9" s="1397" t="e">
        <f ca="1">MERGEVALUE(F9)</f>
        <v>#NAME?</v>
      </c>
      <c r="L9" s="439"/>
      <c r="M9" s="439"/>
      <c r="N9" s="428" t="str">
        <f t="array" ref="N9">IF(ISERROR(MATCH(MID(O9,1,250),MID(note_ter,1,250),0)),"n","y")</f>
        <v>n</v>
      </c>
      <c r="O9" s="439"/>
      <c r="P9" s="428" t="str">
        <f>G9&amp;"("&amp;J9&amp;")"</f>
        <v>(Значение в поле «Наименование организации» содержит наименование юридического лица согласно уставу организации._x000D_
Значение в поле «ИНН» содержит идентификационный номер налогоплательщика._x000D_
Значение в поле «КПП» содержит код постановки на учёт._x000D_
Значение в поле «ОГРН (ОГРНИП)» содержит основной государственный регистрационный номер юридического лица (индивидуального предпринимателя).)</v>
      </c>
      <c r="Q9" s="1034"/>
      <c r="R9" s="1034"/>
      <c r="S9" s="354"/>
      <c r="T9" s="1034"/>
      <c r="U9" s="1034"/>
      <c r="V9" s="1034"/>
      <c r="W9" s="356"/>
      <c r="X9" s="356"/>
      <c r="Y9" s="353"/>
      <c r="Z9" s="353"/>
      <c r="AA9" s="353"/>
      <c r="AB9" s="353"/>
      <c r="AC9" s="353"/>
      <c r="AD9" s="353"/>
      <c r="AE9" s="353"/>
      <c r="AF9" s="353"/>
      <c r="AG9" s="353"/>
      <c r="AH9" s="353"/>
      <c r="AI9" s="353"/>
      <c r="AJ9" s="353"/>
      <c r="AK9" s="353"/>
      <c r="AL9" s="353"/>
      <c r="AM9" s="353"/>
      <c r="AN9" s="353"/>
      <c r="AO9" s="353"/>
      <c r="AP9" s="353"/>
      <c r="AQ9" s="353"/>
      <c r="AR9" s="353"/>
      <c r="AS9" s="353"/>
      <c r="AT9" s="353"/>
      <c r="AU9" s="353"/>
      <c r="AV9" s="353"/>
      <c r="AW9" s="353"/>
      <c r="AX9" s="353"/>
      <c r="AY9" s="353"/>
      <c r="AZ9" s="353"/>
      <c r="BA9" s="353"/>
      <c r="BB9" s="353"/>
      <c r="BC9" s="353"/>
      <c r="BD9" s="353"/>
      <c r="BE9" s="353"/>
      <c r="BF9" s="353"/>
      <c r="BG9" s="353"/>
      <c r="BH9" s="353"/>
      <c r="BI9" s="353"/>
      <c r="BJ9" s="353"/>
      <c r="BK9" s="353"/>
      <c r="BL9" s="353"/>
      <c r="BM9" s="353"/>
      <c r="BN9" s="353"/>
      <c r="BO9" s="353"/>
      <c r="BP9" s="353"/>
      <c r="BQ9" s="353"/>
      <c r="BR9" s="353"/>
      <c r="BS9" s="353"/>
      <c r="BT9" s="356"/>
      <c r="BU9" s="356"/>
      <c r="BV9" s="356"/>
      <c r="BW9" s="356"/>
      <c r="BX9" s="356"/>
      <c r="BY9" s="356"/>
      <c r="BZ9" s="356"/>
      <c r="CA9" s="356"/>
      <c r="CB9" s="356"/>
      <c r="CC9" s="356"/>
    </row>
    <row r="10" spans="1:254" s="1969" customFormat="1" ht="15" customHeight="1">
      <c r="A10" s="1992"/>
      <c r="B10" s="1034"/>
      <c r="C10" s="347"/>
      <c r="D10" s="707"/>
      <c r="E10" s="1403"/>
      <c r="F10" s="1359" t="s">
        <v>2148</v>
      </c>
      <c r="G10" s="1404"/>
      <c r="H10" s="1404"/>
      <c r="I10" s="1404"/>
      <c r="J10" s="2390"/>
      <c r="K10" s="1398"/>
      <c r="L10" s="439"/>
      <c r="M10" s="439"/>
      <c r="N10" s="439"/>
      <c r="O10" s="428"/>
      <c r="P10" s="439"/>
      <c r="Q10" s="1034"/>
      <c r="R10" s="1034"/>
      <c r="S10" s="354"/>
      <c r="T10" s="1034"/>
      <c r="U10" s="1034"/>
      <c r="V10" s="1034"/>
      <c r="W10" s="356"/>
      <c r="X10" s="356"/>
      <c r="Y10" s="353"/>
      <c r="Z10" s="353"/>
      <c r="AA10" s="353"/>
      <c r="AB10" s="353"/>
      <c r="AC10" s="353"/>
      <c r="AD10" s="353"/>
      <c r="AE10" s="353"/>
      <c r="AF10" s="353"/>
      <c r="AG10" s="353"/>
      <c r="AH10" s="353"/>
      <c r="AI10" s="353"/>
      <c r="AJ10" s="353"/>
      <c r="AK10" s="353"/>
      <c r="AL10" s="353"/>
      <c r="AM10" s="353"/>
      <c r="AN10" s="353"/>
      <c r="AO10" s="353"/>
      <c r="AP10" s="353"/>
      <c r="AQ10" s="353"/>
      <c r="AR10" s="353"/>
      <c r="AS10" s="353"/>
      <c r="AT10" s="353"/>
      <c r="AU10" s="353"/>
      <c r="AV10" s="353"/>
      <c r="AW10" s="353"/>
      <c r="AX10" s="353"/>
      <c r="AY10" s="353"/>
      <c r="AZ10" s="353"/>
      <c r="BA10" s="353"/>
      <c r="BB10" s="353"/>
      <c r="BC10" s="353"/>
      <c r="BD10" s="353"/>
      <c r="BE10" s="353"/>
      <c r="BF10" s="353"/>
      <c r="BG10" s="353"/>
      <c r="BH10" s="353"/>
      <c r="BI10" s="353"/>
      <c r="BJ10" s="353"/>
      <c r="BK10" s="353"/>
      <c r="BL10" s="353"/>
      <c r="BM10" s="353"/>
      <c r="BN10" s="353"/>
      <c r="BO10" s="353"/>
      <c r="BP10" s="353"/>
      <c r="BQ10" s="353"/>
      <c r="BR10" s="353"/>
      <c r="BS10" s="353"/>
      <c r="BT10" s="356"/>
      <c r="BU10" s="356"/>
      <c r="BV10" s="356"/>
      <c r="BW10" s="356"/>
      <c r="BX10" s="356"/>
      <c r="BY10" s="356"/>
      <c r="BZ10" s="356"/>
      <c r="CA10" s="356"/>
      <c r="CB10" s="356"/>
      <c r="CC10" s="356"/>
    </row>
    <row r="11" spans="1:254" s="1648" customFormat="1" ht="21" customHeight="1">
      <c r="A11" s="1029"/>
      <c r="B11" s="1034"/>
      <c r="C11" s="1029"/>
      <c r="D11" s="384"/>
      <c r="E11" s="108"/>
      <c r="F11" s="108"/>
      <c r="G11" s="108"/>
      <c r="H11" s="108"/>
      <c r="I11" s="108"/>
      <c r="J11" s="108"/>
      <c r="K11" s="428"/>
      <c r="L11" s="428"/>
      <c r="M11" s="428"/>
      <c r="N11" s="428"/>
      <c r="O11" s="148"/>
      <c r="P11" s="428"/>
      <c r="Q11" s="147"/>
      <c r="R11" s="147"/>
      <c r="S11" s="147"/>
      <c r="T11" s="147"/>
    </row>
    <row r="12" spans="1:254" s="1648" customFormat="1" ht="14.25" customHeight="1">
      <c r="A12" s="1029"/>
      <c r="B12" s="1034"/>
      <c r="C12" s="1029"/>
      <c r="D12" s="384"/>
      <c r="E12" s="1029"/>
      <c r="F12" s="1029"/>
      <c r="G12" s="1029"/>
      <c r="H12" s="1029"/>
      <c r="I12" s="1029"/>
      <c r="J12" s="1029"/>
      <c r="K12" s="428"/>
      <c r="L12" s="428"/>
      <c r="M12" s="428"/>
      <c r="N12" s="428"/>
      <c r="O12" s="148"/>
      <c r="P12" s="428"/>
      <c r="Q12" s="147"/>
      <c r="R12" s="147"/>
      <c r="S12" s="147"/>
      <c r="T12" s="147"/>
    </row>
    <row r="13" spans="1:254" s="1648" customFormat="1" ht="0.75" customHeight="1">
      <c r="A13" s="1029"/>
      <c r="B13" s="1034"/>
      <c r="C13" s="1029"/>
      <c r="D13" s="384"/>
      <c r="E13" s="1029"/>
      <c r="F13" s="1029"/>
      <c r="G13" s="1029"/>
      <c r="H13" s="1029"/>
      <c r="I13" s="1029"/>
      <c r="J13" s="1029"/>
      <c r="K13" s="428"/>
      <c r="L13" s="428"/>
      <c r="M13" s="428"/>
      <c r="N13" s="428"/>
      <c r="O13" s="148"/>
      <c r="P13" s="428"/>
      <c r="Q13" s="147"/>
      <c r="R13" s="147"/>
      <c r="S13" s="147"/>
      <c r="T13" s="147"/>
    </row>
    <row r="14" spans="1:254" s="1717" customFormat="1" ht="10.5" customHeight="1">
      <c r="B14" s="739"/>
      <c r="D14" s="110"/>
      <c r="K14" s="428"/>
      <c r="L14" s="428"/>
      <c r="M14" s="428"/>
      <c r="N14" s="428"/>
      <c r="O14" s="148"/>
      <c r="P14" s="428"/>
      <c r="Q14" s="147"/>
      <c r="R14" s="147"/>
      <c r="S14" s="147"/>
      <c r="T14" s="147"/>
    </row>
    <row r="15" spans="1:254" s="1717" customFormat="1" ht="10.5" customHeight="1">
      <c r="B15" s="739"/>
      <c r="D15" s="110"/>
      <c r="K15" s="428"/>
      <c r="L15" s="428"/>
      <c r="M15" s="428"/>
      <c r="N15" s="428"/>
      <c r="O15" s="148"/>
      <c r="P15" s="428"/>
      <c r="Q15" s="147"/>
      <c r="R15" s="147"/>
      <c r="S15" s="147"/>
      <c r="T15" s="147"/>
    </row>
    <row r="19" spans="7:13" ht="14.25" customHeight="1">
      <c r="G19" s="300"/>
      <c r="H19" s="300"/>
      <c r="I19" s="300"/>
    </row>
    <row r="23" spans="7:13" ht="14.25" customHeight="1">
      <c r="K23" s="1029"/>
      <c r="L23" s="1029"/>
      <c r="M23" s="1029"/>
    </row>
  </sheetData>
  <sheetProtection formatColumns="0" formatRows="0" insertRows="0" deleteColumns="0" deleteRows="0" sort="0" autoFilter="0"/>
  <mergeCells count="5">
    <mergeCell ref="E5:J5"/>
    <mergeCell ref="A9:A10"/>
    <mergeCell ref="E7:I7"/>
    <mergeCell ref="J7:J8"/>
    <mergeCell ref="J9:J10"/>
  </mergeCells>
  <dataValidations count="1">
    <dataValidation type="textLength" allowBlank="1" showInputMessage="1" showErrorMessage="1" sqref="I2:I3 I9">
      <formula1>13</formula1>
      <formula2>15</formula2>
    </dataValidation>
  </dataValidation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6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V14"/>
  <sheetViews>
    <sheetView showGridLines="0" topLeftCell="D4" zoomScale="90" workbookViewId="0"/>
  </sheetViews>
  <sheetFormatPr defaultColWidth="9.140625" defaultRowHeight="14.25" customHeight="1"/>
  <cols>
    <col min="1" max="1" width="9.140625" style="1829" hidden="1"/>
    <col min="2" max="2" width="9.140625" style="1742" hidden="1"/>
    <col min="3" max="3" width="3.7109375" style="1829" hidden="1" customWidth="1"/>
    <col min="4" max="4" width="3.85546875" style="1743" customWidth="1"/>
    <col min="5" max="5" width="6.28515625" style="1829" customWidth="1"/>
    <col min="6" max="6" width="27.28515625" style="1829" customWidth="1"/>
    <col min="7" max="7" width="16.7109375" style="1829" customWidth="1"/>
    <col min="8" max="8" width="12.7109375" style="1829" customWidth="1"/>
    <col min="9" max="9" width="32.140625" style="1829" customWidth="1"/>
    <col min="10" max="11" width="41.85546875" style="1829" customWidth="1"/>
    <col min="12" max="12" width="89.5703125" style="1829" customWidth="1"/>
    <col min="13" max="13" width="3.7109375" style="1748" customWidth="1"/>
    <col min="14" max="16" width="9.140625" style="1748"/>
    <col min="17" max="17" width="25.7109375" style="1748" customWidth="1"/>
    <col min="18" max="18" width="14.42578125" style="1748" customWidth="1"/>
    <col min="19" max="22" width="9.140625" style="1749"/>
    <col min="23" max="256" width="9.140625" style="1829"/>
  </cols>
  <sheetData>
    <row r="1" spans="1:256" ht="14.25" hidden="1" customHeight="1"/>
    <row r="2" spans="1:256" s="1969" customFormat="1" ht="22.5" hidden="1" customHeight="1">
      <c r="A2" s="736"/>
      <c r="B2" s="1034">
        <v>1</v>
      </c>
      <c r="C2" s="1034"/>
      <c r="D2" s="707"/>
      <c r="E2" s="1344"/>
      <c r="F2" s="1401" t="str">
        <f>IF(ROIV_INFO_NAME="","",ROIV_INFO_NAME)</f>
        <v/>
      </c>
      <c r="G2" s="1589" t="s">
        <v>17</v>
      </c>
      <c r="H2" s="1400"/>
      <c r="I2" s="1400"/>
      <c r="J2" s="1038"/>
      <c r="K2" s="1038"/>
      <c r="L2" s="150"/>
      <c r="M2" s="1397" t="e">
        <f ca="1">MERGEVALUE(F2)</f>
        <v>#NAME?</v>
      </c>
      <c r="N2" s="439"/>
      <c r="O2" s="439"/>
      <c r="P2" s="428" t="str">
        <f t="array" ref="P2">IF(ISERROR(MATCH(MID(Q2,1,250),MID(note_ter,1,250),0)),"n","y")</f>
        <v>n</v>
      </c>
      <c r="Q2" s="439"/>
      <c r="R2" s="428" t="str">
        <f>G2&amp;"("&amp;L2&amp;")"</f>
        <v>()</v>
      </c>
      <c r="S2" s="1034"/>
      <c r="T2" s="1034"/>
      <c r="U2" s="354"/>
      <c r="V2" s="1034"/>
      <c r="W2" s="1034"/>
      <c r="X2" s="1034"/>
      <c r="Y2" s="356"/>
      <c r="Z2" s="356"/>
      <c r="AA2" s="353"/>
      <c r="AB2" s="353"/>
      <c r="AC2" s="353"/>
      <c r="AD2" s="353"/>
      <c r="AE2" s="353"/>
      <c r="AF2" s="353"/>
      <c r="AG2" s="353"/>
      <c r="AH2" s="353"/>
      <c r="AI2" s="353"/>
      <c r="AJ2" s="353"/>
      <c r="AK2" s="353"/>
      <c r="AL2" s="353"/>
      <c r="AM2" s="353"/>
      <c r="AN2" s="353"/>
      <c r="AO2" s="353"/>
      <c r="AP2" s="353"/>
      <c r="AQ2" s="353"/>
      <c r="AR2" s="353"/>
      <c r="AS2" s="353"/>
      <c r="AT2" s="353"/>
      <c r="AU2" s="353"/>
      <c r="AV2" s="353"/>
      <c r="AW2" s="353"/>
      <c r="AX2" s="353"/>
      <c r="AY2" s="353"/>
      <c r="AZ2" s="353"/>
      <c r="BA2" s="353"/>
      <c r="BB2" s="353"/>
      <c r="BC2" s="353"/>
      <c r="BD2" s="353"/>
      <c r="BE2" s="353"/>
      <c r="BF2" s="353"/>
      <c r="BG2" s="353"/>
      <c r="BH2" s="353"/>
      <c r="BI2" s="353"/>
      <c r="BJ2" s="353"/>
      <c r="BK2" s="353"/>
      <c r="BL2" s="353"/>
      <c r="BM2" s="353"/>
      <c r="BN2" s="353"/>
      <c r="BO2" s="353"/>
      <c r="BP2" s="353"/>
      <c r="BQ2" s="353"/>
      <c r="BR2" s="353"/>
      <c r="BS2" s="353"/>
      <c r="BT2" s="353"/>
      <c r="BU2" s="353"/>
      <c r="BV2" s="356"/>
      <c r="BW2" s="356"/>
      <c r="BX2" s="356"/>
      <c r="BY2" s="356"/>
      <c r="BZ2" s="356"/>
      <c r="CA2" s="356"/>
      <c r="CB2" s="356"/>
      <c r="CC2" s="356"/>
      <c r="CD2" s="356"/>
      <c r="CE2" s="356"/>
    </row>
    <row r="3" spans="1:256" s="1755" customFormat="1" ht="5.25" hidden="1" customHeight="1">
      <c r="A3" s="424"/>
      <c r="D3" s="422"/>
      <c r="F3" s="166" t="s">
        <v>82</v>
      </c>
      <c r="G3" s="1592" t="s">
        <v>83</v>
      </c>
      <c r="H3" s="422"/>
      <c r="I3" s="422"/>
      <c r="J3" s="422"/>
      <c r="K3" s="422"/>
      <c r="L3" s="149" t="s">
        <v>84</v>
      </c>
      <c r="M3" s="166" t="s">
        <v>82</v>
      </c>
      <c r="N3" s="166"/>
      <c r="O3" s="166"/>
      <c r="P3" s="166"/>
      <c r="Q3" s="167"/>
      <c r="R3" s="166"/>
      <c r="S3" s="166"/>
      <c r="T3" s="166"/>
      <c r="U3" s="166"/>
      <c r="V3" s="166"/>
      <c r="W3" s="149"/>
      <c r="X3" s="149"/>
      <c r="Y3" s="149"/>
      <c r="Z3" s="149"/>
      <c r="AA3" s="149"/>
      <c r="AB3" s="149"/>
      <c r="AC3" s="149"/>
      <c r="AD3" s="149"/>
      <c r="AE3" s="149"/>
      <c r="AF3" s="149"/>
      <c r="AG3" s="149"/>
      <c r="AH3" s="149"/>
      <c r="AI3" s="149"/>
      <c r="AJ3" s="149"/>
      <c r="AK3" s="149"/>
      <c r="AL3" s="149"/>
      <c r="AM3" s="149"/>
      <c r="AN3" s="149"/>
      <c r="AO3" s="149"/>
      <c r="AP3" s="149"/>
      <c r="AQ3" s="149"/>
      <c r="AR3" s="149"/>
      <c r="AS3" s="149"/>
      <c r="AT3" s="149"/>
      <c r="AU3" s="149"/>
      <c r="AV3" s="149"/>
      <c r="AW3" s="149"/>
      <c r="AX3" s="149"/>
      <c r="AY3" s="149"/>
      <c r="AZ3" s="149"/>
      <c r="BA3" s="149"/>
      <c r="BB3" s="149"/>
      <c r="BC3" s="149"/>
      <c r="BD3" s="149"/>
      <c r="BE3" s="149"/>
      <c r="BF3" s="149"/>
      <c r="BG3" s="149"/>
      <c r="BH3" s="149"/>
      <c r="BI3" s="149"/>
      <c r="BJ3" s="149"/>
      <c r="BK3" s="149"/>
      <c r="BL3" s="149"/>
      <c r="BM3" s="149"/>
      <c r="BN3" s="149"/>
      <c r="BO3" s="149"/>
      <c r="BP3" s="149"/>
      <c r="BQ3" s="149"/>
      <c r="BR3" s="149"/>
      <c r="BS3" s="149"/>
      <c r="BT3" s="149"/>
      <c r="BU3" s="149"/>
      <c r="BV3" s="149"/>
      <c r="BW3" s="149"/>
      <c r="BX3" s="149"/>
      <c r="BY3" s="149"/>
      <c r="BZ3" s="149"/>
      <c r="CA3" s="149"/>
      <c r="CB3" s="149"/>
      <c r="CC3" s="149"/>
      <c r="CD3" s="149"/>
      <c r="CE3" s="149"/>
      <c r="CF3" s="149"/>
      <c r="CG3" s="149"/>
      <c r="CH3" s="149"/>
      <c r="CI3" s="149"/>
      <c r="CJ3" s="149"/>
      <c r="CK3" s="149"/>
      <c r="CL3" s="149"/>
      <c r="CM3" s="149"/>
      <c r="CN3" s="149"/>
      <c r="CO3" s="149"/>
      <c r="CP3" s="149"/>
      <c r="CQ3" s="149"/>
      <c r="CR3" s="149"/>
      <c r="CS3" s="149"/>
      <c r="CT3" s="149"/>
      <c r="CU3" s="149"/>
      <c r="CV3" s="149"/>
      <c r="CW3" s="149"/>
      <c r="CX3" s="149"/>
      <c r="CY3" s="149"/>
      <c r="CZ3" s="149"/>
      <c r="DA3" s="149"/>
      <c r="DB3" s="149"/>
      <c r="DC3" s="149"/>
      <c r="DD3" s="149"/>
      <c r="DE3" s="149"/>
      <c r="DF3" s="149"/>
      <c r="DG3" s="149"/>
      <c r="DH3" s="149"/>
      <c r="DI3" s="149"/>
      <c r="DJ3" s="149"/>
      <c r="DK3" s="149"/>
      <c r="DL3" s="149"/>
      <c r="DM3" s="149"/>
      <c r="DN3" s="149"/>
      <c r="DO3" s="149"/>
      <c r="DP3" s="149"/>
      <c r="DQ3" s="149"/>
      <c r="DR3" s="149"/>
      <c r="DS3" s="149"/>
      <c r="DT3" s="149"/>
      <c r="DU3" s="149"/>
      <c r="DV3" s="149"/>
      <c r="DW3" s="149"/>
      <c r="DX3" s="149"/>
      <c r="DY3" s="149"/>
      <c r="DZ3" s="149"/>
      <c r="EA3" s="149"/>
      <c r="EB3" s="149"/>
      <c r="EC3" s="149"/>
      <c r="ED3" s="149"/>
      <c r="EE3" s="149"/>
      <c r="EF3" s="149"/>
      <c r="EG3" s="149"/>
      <c r="EH3" s="149"/>
      <c r="EI3" s="149"/>
      <c r="EJ3" s="149"/>
      <c r="EK3" s="149"/>
      <c r="EL3" s="149"/>
      <c r="EM3" s="149"/>
      <c r="EN3" s="149"/>
      <c r="EO3" s="149"/>
      <c r="EP3" s="149"/>
      <c r="EQ3" s="149"/>
      <c r="ER3" s="149"/>
      <c r="ES3" s="149"/>
      <c r="ET3" s="149"/>
      <c r="EU3" s="149"/>
      <c r="EV3" s="149"/>
      <c r="EW3" s="149"/>
      <c r="EX3" s="149"/>
      <c r="EY3" s="149"/>
      <c r="EZ3" s="149"/>
      <c r="FA3" s="149"/>
      <c r="FB3" s="149"/>
      <c r="FC3" s="149"/>
      <c r="FD3" s="149"/>
      <c r="FE3" s="149"/>
      <c r="FF3" s="149"/>
      <c r="FG3" s="149"/>
      <c r="FH3" s="149"/>
      <c r="FI3" s="149"/>
      <c r="FJ3" s="149"/>
      <c r="FK3" s="149"/>
      <c r="FL3" s="149"/>
      <c r="FM3" s="149"/>
      <c r="FN3" s="149"/>
      <c r="FO3" s="149"/>
      <c r="FP3" s="149"/>
      <c r="FQ3" s="149"/>
      <c r="FR3" s="149"/>
      <c r="FS3" s="149"/>
      <c r="FT3" s="149"/>
      <c r="FU3" s="149"/>
      <c r="FV3" s="149"/>
      <c r="FW3" s="149"/>
      <c r="FX3" s="149"/>
      <c r="FY3" s="149"/>
      <c r="FZ3" s="149"/>
      <c r="GA3" s="149"/>
      <c r="GB3" s="149"/>
      <c r="GC3" s="149"/>
      <c r="GD3" s="149"/>
      <c r="GE3" s="149"/>
      <c r="GF3" s="149"/>
      <c r="GG3" s="149"/>
      <c r="GH3" s="149"/>
      <c r="GI3" s="149"/>
      <c r="GJ3" s="149"/>
      <c r="GK3" s="149"/>
      <c r="GL3" s="149"/>
      <c r="GM3" s="149"/>
      <c r="GN3" s="149"/>
      <c r="GO3" s="149"/>
      <c r="GP3" s="149"/>
      <c r="GQ3" s="149"/>
      <c r="GR3" s="149"/>
      <c r="GS3" s="149"/>
      <c r="GT3" s="149"/>
      <c r="GU3" s="149"/>
      <c r="GV3" s="149"/>
      <c r="GW3" s="149"/>
      <c r="GX3" s="149"/>
      <c r="GY3" s="149"/>
      <c r="GZ3" s="149"/>
      <c r="HA3" s="149"/>
      <c r="HB3" s="149"/>
      <c r="HC3" s="149"/>
      <c r="HD3" s="149"/>
      <c r="HE3" s="149"/>
      <c r="HF3" s="149"/>
      <c r="HG3" s="149"/>
      <c r="HH3" s="149"/>
      <c r="HI3" s="149"/>
      <c r="HJ3" s="149"/>
      <c r="HK3" s="149"/>
      <c r="HL3" s="149"/>
      <c r="HM3" s="149"/>
      <c r="HN3" s="149"/>
      <c r="HO3" s="149"/>
      <c r="HP3" s="149"/>
      <c r="HQ3" s="149"/>
      <c r="HR3" s="149"/>
      <c r="HS3" s="149"/>
      <c r="HT3" s="149"/>
      <c r="HU3" s="149"/>
      <c r="HV3" s="149"/>
      <c r="HW3" s="149"/>
      <c r="HX3" s="149"/>
      <c r="HY3" s="149"/>
      <c r="HZ3" s="149"/>
      <c r="IA3" s="149"/>
      <c r="IB3" s="149"/>
      <c r="IC3" s="149"/>
      <c r="ID3" s="149"/>
      <c r="IE3" s="149"/>
      <c r="IF3" s="149"/>
      <c r="IG3" s="149"/>
      <c r="IH3" s="149"/>
      <c r="II3" s="149"/>
      <c r="IJ3" s="149"/>
      <c r="IK3" s="149"/>
      <c r="IL3" s="149"/>
      <c r="IM3" s="149"/>
      <c r="IN3" s="149"/>
      <c r="IO3" s="149"/>
      <c r="IP3" s="149"/>
      <c r="IQ3" s="149"/>
      <c r="IR3" s="149"/>
      <c r="IS3" s="149"/>
      <c r="IT3" s="149"/>
      <c r="IU3" s="149"/>
      <c r="IV3" s="149"/>
    </row>
    <row r="4" spans="1:256" s="1648" customFormat="1" ht="14.25" customHeight="1">
      <c r="A4" s="1029"/>
      <c r="B4" s="1034"/>
      <c r="C4" s="1029"/>
      <c r="D4" s="1355"/>
      <c r="E4" s="437"/>
      <c r="F4" s="437"/>
      <c r="G4" s="437"/>
      <c r="H4" s="437"/>
      <c r="I4" s="437"/>
      <c r="J4" s="437"/>
      <c r="K4" s="437"/>
      <c r="L4" s="94"/>
      <c r="M4" s="166"/>
      <c r="N4" s="428"/>
      <c r="O4" s="428"/>
      <c r="P4" s="428"/>
      <c r="Q4" s="148"/>
      <c r="R4" s="428"/>
      <c r="S4" s="147"/>
      <c r="T4" s="147"/>
      <c r="U4" s="147"/>
      <c r="V4" s="147"/>
    </row>
    <row r="5" spans="1:256" s="1648" customFormat="1" ht="25.5" customHeight="1">
      <c r="A5" s="1029"/>
      <c r="B5" s="1034"/>
      <c r="C5" s="1029"/>
      <c r="D5" s="1355"/>
      <c r="E5" s="1993" t="str">
        <f>"Форма 3. Информация о рассмотрении дел об установлении тарифов в сфере "&amp;IF(TEMPLATE_SPHERE="HEAT","теплоснабжения","водоснабжения и водоотведения")</f>
        <v>Форма 3. Информация о рассмотрении дел об установлении тарифов в сфере водоснабжения и водоотведения</v>
      </c>
      <c r="F5" s="1993"/>
      <c r="G5" s="1993"/>
      <c r="H5" s="1993"/>
      <c r="I5" s="1993"/>
      <c r="J5" s="1993"/>
      <c r="K5" s="1993"/>
      <c r="L5" s="513"/>
      <c r="M5" s="166"/>
      <c r="N5" s="428"/>
      <c r="O5" s="428"/>
      <c r="P5" s="428"/>
      <c r="Q5" s="148"/>
      <c r="R5" s="428"/>
      <c r="S5" s="147"/>
      <c r="T5" s="147"/>
      <c r="U5" s="147"/>
      <c r="V5" s="147"/>
    </row>
    <row r="6" spans="1:256" s="1648" customFormat="1" ht="14.25" customHeight="1">
      <c r="A6" s="1029"/>
      <c r="B6" s="1034"/>
      <c r="C6" s="1029"/>
      <c r="D6" s="1355"/>
      <c r="E6" s="437"/>
      <c r="F6" s="95"/>
      <c r="G6" s="95"/>
      <c r="H6" s="95"/>
      <c r="I6" s="95"/>
      <c r="J6" s="95"/>
      <c r="K6" s="95"/>
      <c r="L6" s="96"/>
      <c r="M6" s="428"/>
      <c r="N6" s="428"/>
      <c r="O6" s="428"/>
      <c r="P6" s="428"/>
      <c r="Q6" s="148"/>
      <c r="R6" s="428"/>
      <c r="S6" s="147"/>
      <c r="T6" s="147"/>
      <c r="U6" s="147"/>
      <c r="V6" s="147"/>
    </row>
    <row r="7" spans="1:256" s="1648" customFormat="1" ht="14.25" customHeight="1">
      <c r="A7" s="1029"/>
      <c r="B7" s="1034"/>
      <c r="C7" s="1029"/>
      <c r="D7" s="1355"/>
      <c r="E7" s="1989" t="s">
        <v>292</v>
      </c>
      <c r="F7" s="1994"/>
      <c r="G7" s="1994"/>
      <c r="H7" s="1994"/>
      <c r="I7" s="1994"/>
      <c r="J7" s="1994"/>
      <c r="K7" s="1994"/>
      <c r="L7" s="2387" t="s">
        <v>293</v>
      </c>
      <c r="M7" s="428"/>
      <c r="N7" s="428"/>
      <c r="O7" s="428"/>
      <c r="P7" s="428"/>
      <c r="Q7" s="148"/>
      <c r="R7" s="428"/>
      <c r="S7" s="147"/>
      <c r="T7" s="147"/>
      <c r="U7" s="147"/>
      <c r="V7" s="147"/>
    </row>
    <row r="8" spans="1:256" s="1648" customFormat="1" ht="47.25" customHeight="1">
      <c r="A8" s="1029"/>
      <c r="B8" s="1034"/>
      <c r="C8" s="1029"/>
      <c r="D8" s="1355"/>
      <c r="E8" s="2392" t="s">
        <v>87</v>
      </c>
      <c r="F8" s="2392" t="s">
        <v>2127</v>
      </c>
      <c r="G8" s="2394" t="str">
        <f>"Заседание правления (коллегии органа регулирования тарифов, на котором планируется рассмотрение дела об установлении тарифов в сфере "&amp;IF(TEMPLATE_SPHERE="HEAT","теплоснабжения","водоснабжения и водоотведения")</f>
        <v>Заседание правления (коллегии органа регулирования тарифов, на котором планируется рассмотрение дела об установлении тарифов в сфере водоснабжения и водоотведения</v>
      </c>
      <c r="H8" s="2395"/>
      <c r="I8" s="2396"/>
      <c r="J8" s="2392" t="str">
        <f>"Принятые органом регулирования тарифов решения об установлении тарифов в сфере "&amp;IF(TEMPLATE_SPHERE="HEAT","теплоснабжения","водоснабжения и водоотведения")</f>
        <v>Принятые органом регулирования тарифов решения об установлении тарифов в сфере водоснабжения и водоотведения</v>
      </c>
      <c r="K8" s="2392" t="str">
        <f>"Протокол заседания правления (коллегии) органа регулирования тарифов, оформленный в соответствии с требованиями"&amp;IF(TEMPLATE_SPHERE="HEAT","законодательства Российской Федерации",", установленными Правилами регулирования тарифов в сфере водоснабжения и водоотведения, утвержденными постановлением Правительства Российской Федерации от 13 мая 2013 г. № 406 ""О государственном регулировании тарифов в сфере водоснабжения и водоотведения""")</f>
        <v>Протокол заседания правления (коллегии) органа регулирования тарифов, оформленный в соответствии с требованиями, установленными Правилами регулирования тарифов в сфере водоснабжения и водоотведения, утвержденными постановлением Правительства Российской Федерации от 13 мая 2013 г. № 406 "О государственном регулировании тарифов в сфере водоснабжения и водоотведения"</v>
      </c>
      <c r="L8" s="2391"/>
      <c r="M8" s="428"/>
      <c r="N8" s="428"/>
      <c r="O8" s="428"/>
      <c r="P8" s="428"/>
      <c r="Q8" s="148"/>
      <c r="R8" s="428"/>
      <c r="S8" s="147"/>
      <c r="T8" s="147"/>
      <c r="U8" s="147"/>
      <c r="V8" s="147"/>
    </row>
    <row r="9" spans="1:256" s="1648" customFormat="1" ht="56.25" customHeight="1">
      <c r="A9" s="1029"/>
      <c r="B9" s="1034"/>
      <c r="C9" s="1029"/>
      <c r="D9" s="1355"/>
      <c r="E9" s="2393"/>
      <c r="F9" s="2393"/>
      <c r="G9" s="1399" t="s">
        <v>2149</v>
      </c>
      <c r="H9" s="1399" t="s">
        <v>2150</v>
      </c>
      <c r="I9" s="1399" t="s">
        <v>2151</v>
      </c>
      <c r="J9" s="2393"/>
      <c r="K9" s="2393"/>
      <c r="L9" s="2388"/>
      <c r="M9" s="428"/>
      <c r="N9" s="428"/>
      <c r="O9" s="428"/>
      <c r="P9" s="428"/>
      <c r="Q9" s="148"/>
      <c r="R9" s="428"/>
      <c r="S9" s="147"/>
      <c r="T9" s="147"/>
      <c r="U9" s="147"/>
      <c r="V9" s="147"/>
    </row>
    <row r="10" spans="1:256" s="1969" customFormat="1" ht="22.5" customHeight="1">
      <c r="A10" s="1992"/>
      <c r="B10" s="1034">
        <v>1</v>
      </c>
      <c r="C10" s="1034"/>
      <c r="D10" s="706"/>
      <c r="E10" s="704">
        <v>1</v>
      </c>
      <c r="F10" s="1401" t="str">
        <f>IF(ROIV_INFO_NAME="","",ROIV_INFO_NAME)</f>
        <v/>
      </c>
      <c r="G10" s="1589" t="s">
        <v>17</v>
      </c>
      <c r="H10" s="1396"/>
      <c r="I10" s="1396"/>
      <c r="J10" s="1038"/>
      <c r="K10" s="1038"/>
      <c r="L10" s="2389" t="s">
        <v>2152</v>
      </c>
      <c r="M10" s="1397" t="e">
        <f ca="1">MERGEVALUE(F10)</f>
        <v>#NAME?</v>
      </c>
      <c r="N10" s="439"/>
      <c r="O10" s="439"/>
      <c r="P10" s="428" t="str">
        <f t="array" ref="P10">IF(ISERROR(MATCH(MID(Q10,1,250),MID(note_ter,1,250),0)),"n","y")</f>
        <v>n</v>
      </c>
      <c r="Q10" s="439"/>
      <c r="R10" s="428" t="str">
        <f>G10&amp;"("&amp;L10&amp;")"</f>
        <v>(В поле «Наименование органа регулирования тарифов» указывается наименование в соответствии с нормативным правовым актом, на основании которого региональный орган регулирования (орган местного самоуправления) образован._x000D_
В поле «дата» указывается дата в виде "ДД.ММ.ГГГГ»._x000D_
В поле «место» указывается адрес места проведения заседания (коллегии)._x000D_
В полях «Принятые органом регулирования… » и «Протокол заседания…» указываются ссылка на документ, предварительно загруженный в хранилище файлов ФГИС ЕИАС.)</v>
      </c>
      <c r="S10" s="1034"/>
      <c r="T10" s="1034"/>
      <c r="U10" s="354"/>
      <c r="V10" s="1034"/>
      <c r="W10" s="1034"/>
      <c r="X10" s="1034"/>
      <c r="Y10" s="356"/>
      <c r="Z10" s="356"/>
      <c r="AA10" s="353"/>
      <c r="AB10" s="353"/>
      <c r="AC10" s="353"/>
      <c r="AD10" s="353"/>
      <c r="AE10" s="353"/>
      <c r="AF10" s="353"/>
      <c r="AG10" s="353"/>
      <c r="AH10" s="353"/>
      <c r="AI10" s="353"/>
      <c r="AJ10" s="353"/>
      <c r="AK10" s="353"/>
      <c r="AL10" s="353"/>
      <c r="AM10" s="353"/>
      <c r="AN10" s="353"/>
      <c r="AO10" s="353"/>
      <c r="AP10" s="353"/>
      <c r="AQ10" s="353"/>
      <c r="AR10" s="353"/>
      <c r="AS10" s="353"/>
      <c r="AT10" s="353"/>
      <c r="AU10" s="353"/>
      <c r="AV10" s="353"/>
      <c r="AW10" s="353"/>
      <c r="AX10" s="353"/>
      <c r="AY10" s="353"/>
      <c r="AZ10" s="353"/>
      <c r="BA10" s="353"/>
      <c r="BB10" s="353"/>
      <c r="BC10" s="353"/>
      <c r="BD10" s="353"/>
      <c r="BE10" s="353"/>
      <c r="BF10" s="353"/>
      <c r="BG10" s="353"/>
      <c r="BH10" s="353"/>
      <c r="BI10" s="353"/>
      <c r="BJ10" s="353"/>
      <c r="BK10" s="353"/>
      <c r="BL10" s="353"/>
      <c r="BM10" s="353"/>
      <c r="BN10" s="353"/>
      <c r="BO10" s="353"/>
      <c r="BP10" s="353"/>
      <c r="BQ10" s="353"/>
      <c r="BR10" s="353"/>
      <c r="BS10" s="353"/>
      <c r="BT10" s="353"/>
      <c r="BU10" s="353"/>
      <c r="BV10" s="356"/>
      <c r="BW10" s="356"/>
      <c r="BX10" s="356"/>
      <c r="BY10" s="356"/>
      <c r="BZ10" s="356"/>
      <c r="CA10" s="356"/>
      <c r="CB10" s="356"/>
      <c r="CC10" s="356"/>
      <c r="CD10" s="356"/>
      <c r="CE10" s="356"/>
    </row>
    <row r="11" spans="1:256" s="1969" customFormat="1" ht="15" customHeight="1">
      <c r="A11" s="1992"/>
      <c r="B11" s="1034"/>
      <c r="C11" s="347"/>
      <c r="D11" s="707"/>
      <c r="E11" s="355"/>
      <c r="F11" s="351" t="s">
        <v>2153</v>
      </c>
      <c r="G11" s="112"/>
      <c r="H11" s="112"/>
      <c r="I11" s="112"/>
      <c r="J11" s="112"/>
      <c r="K11" s="112"/>
      <c r="L11" s="2390"/>
      <c r="M11" s="1398"/>
      <c r="N11" s="439"/>
      <c r="O11" s="439"/>
      <c r="P11" s="439"/>
      <c r="Q11" s="428"/>
      <c r="R11" s="439"/>
      <c r="S11" s="1034"/>
      <c r="T11" s="1034"/>
      <c r="U11" s="354"/>
      <c r="V11" s="1034"/>
      <c r="W11" s="1034"/>
      <c r="X11" s="1034"/>
      <c r="Y11" s="356"/>
      <c r="Z11" s="356"/>
      <c r="AA11" s="353"/>
      <c r="AB11" s="353"/>
      <c r="AC11" s="353"/>
      <c r="AD11" s="353"/>
      <c r="AE11" s="353"/>
      <c r="AF11" s="353"/>
      <c r="AG11" s="353"/>
      <c r="AH11" s="353"/>
      <c r="AI11" s="353"/>
      <c r="AJ11" s="353"/>
      <c r="AK11" s="353"/>
      <c r="AL11" s="353"/>
      <c r="AM11" s="353"/>
      <c r="AN11" s="353"/>
      <c r="AO11" s="353"/>
      <c r="AP11" s="353"/>
      <c r="AQ11" s="353"/>
      <c r="AR11" s="353"/>
      <c r="AS11" s="353"/>
      <c r="AT11" s="353"/>
      <c r="AU11" s="353"/>
      <c r="AV11" s="353"/>
      <c r="AW11" s="353"/>
      <c r="AX11" s="353"/>
      <c r="AY11" s="353"/>
      <c r="AZ11" s="353"/>
      <c r="BA11" s="353"/>
      <c r="BB11" s="353"/>
      <c r="BC11" s="353"/>
      <c r="BD11" s="353"/>
      <c r="BE11" s="353"/>
      <c r="BF11" s="353"/>
      <c r="BG11" s="353"/>
      <c r="BH11" s="353"/>
      <c r="BI11" s="353"/>
      <c r="BJ11" s="353"/>
      <c r="BK11" s="353"/>
      <c r="BL11" s="353"/>
      <c r="BM11" s="353"/>
      <c r="BN11" s="353"/>
      <c r="BO11" s="353"/>
      <c r="BP11" s="353"/>
      <c r="BQ11" s="353"/>
      <c r="BR11" s="353"/>
      <c r="BS11" s="353"/>
      <c r="BT11" s="353"/>
      <c r="BU11" s="353"/>
      <c r="BV11" s="356"/>
      <c r="BW11" s="356"/>
      <c r="BX11" s="356"/>
      <c r="BY11" s="356"/>
      <c r="BZ11" s="356"/>
      <c r="CA11" s="356"/>
      <c r="CB11" s="356"/>
      <c r="CC11" s="356"/>
      <c r="CD11" s="356"/>
      <c r="CE11" s="356"/>
    </row>
    <row r="12" spans="1:256" s="1648" customFormat="1" ht="21" customHeight="1">
      <c r="A12" s="1029"/>
      <c r="B12" s="1034"/>
      <c r="C12" s="1029"/>
      <c r="D12" s="384"/>
      <c r="E12" s="108"/>
      <c r="F12" s="108"/>
      <c r="G12" s="108"/>
      <c r="H12" s="108"/>
      <c r="I12" s="108"/>
      <c r="J12" s="108"/>
      <c r="K12" s="108"/>
      <c r="L12" s="108"/>
      <c r="M12" s="428"/>
      <c r="N12" s="428"/>
      <c r="O12" s="428"/>
      <c r="P12" s="428"/>
      <c r="Q12" s="148"/>
      <c r="R12" s="428"/>
      <c r="S12" s="147"/>
      <c r="T12" s="147"/>
      <c r="U12" s="147"/>
      <c r="V12" s="147"/>
    </row>
    <row r="13" spans="1:256" s="1648" customFormat="1" ht="14.25" customHeight="1">
      <c r="A13" s="1029"/>
      <c r="B13" s="1034"/>
      <c r="C13" s="1029"/>
      <c r="D13" s="384"/>
      <c r="E13" s="1029"/>
      <c r="F13" s="1029"/>
      <c r="G13" s="1029"/>
      <c r="H13" s="1029"/>
      <c r="I13" s="1029"/>
      <c r="J13" s="1029"/>
      <c r="K13" s="1029"/>
      <c r="L13" s="1029"/>
      <c r="M13" s="428"/>
      <c r="N13" s="428"/>
      <c r="O13" s="428"/>
      <c r="P13" s="428"/>
      <c r="Q13" s="148"/>
      <c r="R13" s="428"/>
      <c r="S13" s="147"/>
      <c r="T13" s="147"/>
      <c r="U13" s="147"/>
      <c r="V13" s="147"/>
    </row>
    <row r="14" spans="1:256" s="1648" customFormat="1" ht="0.75" customHeight="1">
      <c r="A14" s="1029"/>
      <c r="B14" s="1034"/>
      <c r="C14" s="1029"/>
      <c r="D14" s="384"/>
      <c r="E14" s="1029"/>
      <c r="F14" s="1029"/>
      <c r="G14" s="1029"/>
      <c r="H14" s="1029"/>
      <c r="I14" s="1029"/>
      <c r="J14" s="1029"/>
      <c r="K14" s="1029"/>
      <c r="L14" s="1029"/>
      <c r="M14" s="428"/>
      <c r="N14" s="428"/>
      <c r="O14" s="428"/>
      <c r="P14" s="428"/>
      <c r="Q14" s="148"/>
      <c r="R14" s="428"/>
      <c r="S14" s="147"/>
      <c r="T14" s="147"/>
      <c r="U14" s="147"/>
      <c r="V14" s="147"/>
    </row>
  </sheetData>
  <sheetProtection formatColumns="0" formatRows="0" insertRows="0" deleteColumns="0" deleteRows="0" sort="0" autoFilter="0"/>
  <mergeCells count="10">
    <mergeCell ref="L7:L9"/>
    <mergeCell ref="E7:K7"/>
    <mergeCell ref="A10:A11"/>
    <mergeCell ref="L10:L11"/>
    <mergeCell ref="E5:K5"/>
    <mergeCell ref="F8:F9"/>
    <mergeCell ref="E8:E9"/>
    <mergeCell ref="G8:I8"/>
    <mergeCell ref="J8:J9"/>
    <mergeCell ref="K8:K9"/>
  </mergeCells>
  <dataValidations count="3">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Мониторинг&quot;." sqref="J2:K3 J10:K10">
      <formula1>900</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G2:G3 G10"/>
    <dataValidation type="textLength" allowBlank="1" showInputMessage="1" showErrorMessage="1" sqref="H2:I3 H10:I10">
      <formula1>13</formula1>
      <formula2>15</formula2>
    </dataValidation>
  </dataValidation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6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Y16"/>
  <sheetViews>
    <sheetView showGridLines="0" topLeftCell="D5" zoomScale="90" workbookViewId="0"/>
  </sheetViews>
  <sheetFormatPr defaultColWidth="9.140625" defaultRowHeight="14.25" customHeight="1"/>
  <cols>
    <col min="1" max="1" width="9.140625" style="1829" hidden="1"/>
    <col min="2" max="2" width="9.140625" style="1742" hidden="1"/>
    <col min="3" max="3" width="3.7109375" style="1829" hidden="1" customWidth="1"/>
    <col min="4" max="4" width="3.85546875" style="1743" customWidth="1"/>
    <col min="5" max="5" width="10.140625" style="1829" customWidth="1"/>
    <col min="6" max="6" width="6.28515625" style="1829" customWidth="1"/>
    <col min="7" max="7" width="27.28515625" style="1829" customWidth="1"/>
    <col min="8" max="8" width="29.28515625" style="1829" customWidth="1"/>
    <col min="9" max="9" width="25.42578125" style="1829" customWidth="1"/>
    <col min="10" max="10" width="5.5703125" style="1829" customWidth="1"/>
    <col min="11" max="11" width="6.5703125" style="1829" customWidth="1"/>
    <col min="12" max="12" width="41.85546875" style="1829" customWidth="1"/>
    <col min="13" max="13" width="42.42578125" style="1829" customWidth="1"/>
    <col min="14" max="14" width="41.5703125" style="1829" customWidth="1"/>
    <col min="15" max="15" width="64.140625" style="1829" customWidth="1"/>
    <col min="16" max="16" width="3.7109375" style="1748" customWidth="1"/>
    <col min="17" max="19" width="9.140625" style="1748"/>
    <col min="20" max="20" width="25.7109375" style="1748" customWidth="1"/>
    <col min="21" max="21" width="14.42578125" style="1748" customWidth="1"/>
    <col min="22" max="25" width="9.140625" style="1749"/>
    <col min="26" max="259" width="9.140625" style="1829"/>
  </cols>
  <sheetData>
    <row r="1" spans="1:259" ht="14.25" hidden="1" customHeight="1"/>
    <row r="2" spans="1:259" s="1969" customFormat="1" ht="22.5" hidden="1" customHeight="1">
      <c r="A2" s="424"/>
      <c r="B2" s="1034">
        <v>1</v>
      </c>
      <c r="C2" s="1034"/>
      <c r="D2" s="707"/>
      <c r="E2" s="2007"/>
      <c r="F2" s="2007">
        <v>1</v>
      </c>
      <c r="G2" s="2284" t="str">
        <f>IF(region_name="","",region_name)</f>
        <v>Астраханская область</v>
      </c>
      <c r="H2" s="2397"/>
      <c r="I2" s="2398"/>
      <c r="J2" s="403"/>
      <c r="K2" s="1344">
        <v>1</v>
      </c>
      <c r="L2" s="1038"/>
      <c r="M2" s="1038"/>
      <c r="N2" s="1038"/>
      <c r="O2" s="1038"/>
      <c r="P2" s="1397" t="e">
        <f ca="1">MERGEVALUE(G2)</f>
        <v>#NAME?</v>
      </c>
      <c r="Q2" s="439"/>
      <c r="R2" s="439"/>
      <c r="S2" s="428" t="str">
        <f t="array" ref="S2">IF(ISERROR(MATCH(MID(T2,1,250),MID(note_ter,1,250),0)),"n","y")</f>
        <v>n</v>
      </c>
      <c r="T2" s="439"/>
      <c r="U2" s="428"/>
      <c r="V2" s="1034"/>
      <c r="W2" s="1034"/>
      <c r="X2" s="354"/>
      <c r="Y2" s="1034"/>
      <c r="Z2" s="1034"/>
      <c r="AA2" s="1034"/>
      <c r="AB2" s="356"/>
      <c r="AC2" s="356"/>
      <c r="AD2" s="353"/>
      <c r="AE2" s="353"/>
      <c r="AF2" s="353"/>
      <c r="AG2" s="353"/>
      <c r="AH2" s="353"/>
      <c r="AI2" s="353"/>
      <c r="AJ2" s="353"/>
      <c r="AK2" s="353"/>
      <c r="AL2" s="353"/>
      <c r="AM2" s="353"/>
      <c r="AN2" s="353"/>
      <c r="AO2" s="353"/>
      <c r="AP2" s="353"/>
      <c r="AQ2" s="353"/>
      <c r="AR2" s="353"/>
      <c r="AS2" s="353"/>
      <c r="AT2" s="353"/>
      <c r="AU2" s="353"/>
      <c r="AV2" s="353"/>
      <c r="AW2" s="353"/>
      <c r="AX2" s="353"/>
      <c r="AY2" s="353"/>
      <c r="AZ2" s="353"/>
      <c r="BA2" s="353"/>
      <c r="BB2" s="353"/>
      <c r="BC2" s="353"/>
      <c r="BD2" s="353"/>
      <c r="BE2" s="353"/>
      <c r="BF2" s="353"/>
      <c r="BG2" s="353"/>
      <c r="BH2" s="353"/>
      <c r="BI2" s="353"/>
      <c r="BJ2" s="353"/>
      <c r="BK2" s="353"/>
      <c r="BL2" s="353"/>
      <c r="BM2" s="353"/>
      <c r="BN2" s="353"/>
      <c r="BO2" s="353"/>
      <c r="BP2" s="353"/>
      <c r="BQ2" s="353"/>
      <c r="BR2" s="353"/>
      <c r="BS2" s="353"/>
      <c r="BT2" s="353"/>
      <c r="BU2" s="353"/>
      <c r="BV2" s="353"/>
      <c r="BW2" s="353"/>
      <c r="BX2" s="353"/>
      <c r="BY2" s="356"/>
      <c r="BZ2" s="356"/>
      <c r="CA2" s="356"/>
      <c r="CB2" s="356"/>
      <c r="CC2" s="356"/>
      <c r="CD2" s="356"/>
      <c r="CE2" s="356"/>
      <c r="CF2" s="356"/>
      <c r="CG2" s="356"/>
      <c r="CH2" s="356"/>
    </row>
    <row r="3" spans="1:259" s="1969" customFormat="1" ht="22.5" hidden="1" customHeight="1">
      <c r="A3" s="736"/>
      <c r="B3" s="1034"/>
      <c r="C3" s="1034"/>
      <c r="D3" s="707"/>
      <c r="E3" s="2007"/>
      <c r="F3" s="2007"/>
      <c r="G3" s="2284"/>
      <c r="H3" s="2397"/>
      <c r="I3" s="2193"/>
      <c r="J3" s="1406"/>
      <c r="K3" s="1359"/>
      <c r="L3" s="1359" t="s">
        <v>2154</v>
      </c>
      <c r="M3" s="1409"/>
      <c r="N3" s="1409"/>
      <c r="O3" s="1410"/>
      <c r="P3" s="1397"/>
      <c r="Q3" s="439"/>
      <c r="R3" s="439"/>
      <c r="S3" s="428"/>
      <c r="T3" s="439"/>
      <c r="U3" s="428"/>
      <c r="V3" s="1034"/>
      <c r="W3" s="1034"/>
      <c r="X3" s="354"/>
      <c r="Y3" s="1034"/>
      <c r="Z3" s="1034"/>
      <c r="AA3" s="1034"/>
      <c r="AB3" s="356"/>
      <c r="AC3" s="356"/>
      <c r="AD3" s="353"/>
      <c r="AE3" s="353"/>
      <c r="AF3" s="353"/>
      <c r="AG3" s="353"/>
      <c r="AH3" s="353"/>
      <c r="AI3" s="353"/>
      <c r="AJ3" s="353"/>
      <c r="AK3" s="353"/>
      <c r="AL3" s="353"/>
      <c r="AM3" s="353"/>
      <c r="AN3" s="353"/>
      <c r="AO3" s="353"/>
      <c r="AP3" s="353"/>
      <c r="AQ3" s="353"/>
      <c r="AR3" s="353"/>
      <c r="AS3" s="353"/>
      <c r="AT3" s="353"/>
      <c r="AU3" s="353"/>
      <c r="AV3" s="353"/>
      <c r="AW3" s="353"/>
      <c r="AX3" s="353"/>
      <c r="AY3" s="353"/>
      <c r="AZ3" s="353"/>
      <c r="BA3" s="353"/>
      <c r="BB3" s="353"/>
      <c r="BC3" s="353"/>
      <c r="BD3" s="353"/>
      <c r="BE3" s="353"/>
      <c r="BF3" s="353"/>
      <c r="BG3" s="353"/>
      <c r="BH3" s="353"/>
      <c r="BI3" s="353"/>
      <c r="BJ3" s="353"/>
      <c r="BK3" s="353"/>
      <c r="BL3" s="353"/>
      <c r="BM3" s="353"/>
      <c r="BN3" s="353"/>
      <c r="BO3" s="353"/>
      <c r="BP3" s="353"/>
      <c r="BQ3" s="353"/>
      <c r="BR3" s="353"/>
      <c r="BS3" s="353"/>
      <c r="BT3" s="353"/>
      <c r="BU3" s="353"/>
      <c r="BV3" s="353"/>
      <c r="BW3" s="353"/>
      <c r="BX3" s="353"/>
      <c r="BY3" s="356"/>
      <c r="BZ3" s="356"/>
      <c r="CA3" s="356"/>
      <c r="CB3" s="356"/>
      <c r="CC3" s="356"/>
      <c r="CD3" s="356"/>
      <c r="CE3" s="356"/>
      <c r="CF3" s="356"/>
      <c r="CG3" s="356"/>
      <c r="CH3" s="356"/>
    </row>
    <row r="4" spans="1:259" s="1755" customFormat="1" ht="5.25" hidden="1" customHeight="1">
      <c r="A4" s="424"/>
      <c r="D4" s="422"/>
      <c r="G4" s="166" t="s">
        <v>82</v>
      </c>
      <c r="H4" s="422" t="s">
        <v>83</v>
      </c>
      <c r="I4" s="422"/>
      <c r="J4" s="1411"/>
      <c r="K4" s="1411"/>
      <c r="L4" s="1411"/>
      <c r="M4" s="1411"/>
      <c r="N4" s="1411"/>
      <c r="O4" s="1411"/>
      <c r="P4" s="166" t="s">
        <v>82</v>
      </c>
      <c r="Q4" s="166"/>
      <c r="R4" s="166"/>
      <c r="S4" s="166"/>
      <c r="T4" s="167"/>
      <c r="U4" s="166"/>
      <c r="V4" s="166"/>
      <c r="W4" s="166"/>
      <c r="X4" s="166"/>
      <c r="Y4" s="166"/>
      <c r="Z4" s="149"/>
      <c r="AA4" s="149"/>
      <c r="AB4" s="149"/>
      <c r="AC4" s="149"/>
      <c r="AD4" s="149"/>
      <c r="AE4" s="149"/>
      <c r="AF4" s="149"/>
      <c r="AG4" s="149"/>
      <c r="AH4" s="149"/>
      <c r="AI4" s="149"/>
      <c r="AJ4" s="149"/>
      <c r="AK4" s="149"/>
      <c r="AL4" s="149"/>
      <c r="AM4" s="149"/>
      <c r="AN4" s="149"/>
      <c r="AO4" s="149"/>
      <c r="AP4" s="149"/>
      <c r="AQ4" s="149"/>
      <c r="AR4" s="149"/>
      <c r="AS4" s="149"/>
      <c r="AT4" s="149"/>
      <c r="AU4" s="149"/>
      <c r="AV4" s="149"/>
      <c r="AW4" s="149"/>
      <c r="AX4" s="149"/>
      <c r="AY4" s="149"/>
      <c r="AZ4" s="149"/>
      <c r="BA4" s="149"/>
      <c r="BB4" s="149"/>
      <c r="BC4" s="149"/>
      <c r="BD4" s="149"/>
      <c r="BE4" s="149"/>
      <c r="BF4" s="149"/>
      <c r="BG4" s="149"/>
      <c r="BH4" s="149"/>
      <c r="BI4" s="149"/>
      <c r="BJ4" s="149"/>
      <c r="BK4" s="149"/>
      <c r="BL4" s="149"/>
      <c r="BM4" s="149"/>
      <c r="BN4" s="149"/>
      <c r="BO4" s="149"/>
      <c r="BP4" s="149"/>
      <c r="BQ4" s="149"/>
      <c r="BR4" s="149"/>
      <c r="BS4" s="149"/>
      <c r="BT4" s="149"/>
      <c r="BU4" s="149"/>
      <c r="BV4" s="149"/>
      <c r="BW4" s="149"/>
      <c r="BX4" s="149"/>
      <c r="BY4" s="149"/>
      <c r="BZ4" s="149"/>
      <c r="CA4" s="149"/>
      <c r="CB4" s="149"/>
      <c r="CC4" s="149"/>
      <c r="CD4" s="149"/>
      <c r="CE4" s="149"/>
      <c r="CF4" s="149"/>
      <c r="CG4" s="149"/>
      <c r="CH4" s="149"/>
      <c r="CI4" s="149"/>
      <c r="CJ4" s="149"/>
      <c r="CK4" s="149"/>
      <c r="CL4" s="149"/>
      <c r="CM4" s="149"/>
      <c r="CN4" s="149"/>
      <c r="CO4" s="149"/>
      <c r="CP4" s="149"/>
      <c r="CQ4" s="149"/>
      <c r="CR4" s="149"/>
      <c r="CS4" s="149"/>
      <c r="CT4" s="149"/>
      <c r="CU4" s="149"/>
      <c r="CV4" s="149"/>
      <c r="CW4" s="149"/>
      <c r="CX4" s="149"/>
      <c r="CY4" s="149"/>
      <c r="CZ4" s="149"/>
      <c r="DA4" s="149"/>
      <c r="DB4" s="149"/>
      <c r="DC4" s="149"/>
      <c r="DD4" s="149"/>
      <c r="DE4" s="149"/>
      <c r="DF4" s="149"/>
      <c r="DG4" s="149"/>
      <c r="DH4" s="149"/>
      <c r="DI4" s="149"/>
      <c r="DJ4" s="149"/>
      <c r="DK4" s="149"/>
      <c r="DL4" s="149"/>
      <c r="DM4" s="149"/>
      <c r="DN4" s="149"/>
      <c r="DO4" s="149"/>
      <c r="DP4" s="149"/>
      <c r="DQ4" s="149"/>
      <c r="DR4" s="149"/>
      <c r="DS4" s="149"/>
      <c r="DT4" s="149"/>
      <c r="DU4" s="149"/>
      <c r="DV4" s="149"/>
      <c r="DW4" s="149"/>
      <c r="DX4" s="149"/>
      <c r="DY4" s="149"/>
      <c r="DZ4" s="149"/>
      <c r="EA4" s="149"/>
      <c r="EB4" s="149"/>
      <c r="EC4" s="149"/>
      <c r="ED4" s="149"/>
      <c r="EE4" s="149"/>
      <c r="EF4" s="149"/>
      <c r="EG4" s="149"/>
      <c r="EH4" s="149"/>
      <c r="EI4" s="149"/>
      <c r="EJ4" s="149"/>
      <c r="EK4" s="149"/>
      <c r="EL4" s="149"/>
      <c r="EM4" s="149"/>
      <c r="EN4" s="149"/>
      <c r="EO4" s="149"/>
      <c r="EP4" s="149"/>
      <c r="EQ4" s="149"/>
      <c r="ER4" s="149"/>
      <c r="ES4" s="149"/>
      <c r="ET4" s="149"/>
      <c r="EU4" s="149"/>
      <c r="EV4" s="149"/>
      <c r="EW4" s="149"/>
      <c r="EX4" s="149"/>
      <c r="EY4" s="149"/>
      <c r="EZ4" s="149"/>
      <c r="FA4" s="149"/>
      <c r="FB4" s="149"/>
      <c r="FC4" s="149"/>
      <c r="FD4" s="149"/>
      <c r="FE4" s="149"/>
      <c r="FF4" s="149"/>
      <c r="FG4" s="149"/>
      <c r="FH4" s="149"/>
      <c r="FI4" s="149"/>
      <c r="FJ4" s="149"/>
      <c r="FK4" s="149"/>
      <c r="FL4" s="149"/>
      <c r="FM4" s="149"/>
      <c r="FN4" s="149"/>
      <c r="FO4" s="149"/>
      <c r="FP4" s="149"/>
      <c r="FQ4" s="149"/>
      <c r="FR4" s="149"/>
      <c r="FS4" s="149"/>
      <c r="FT4" s="149"/>
      <c r="FU4" s="149"/>
      <c r="FV4" s="149"/>
      <c r="FW4" s="149"/>
      <c r="FX4" s="149"/>
      <c r="FY4" s="149"/>
      <c r="FZ4" s="149"/>
      <c r="GA4" s="149"/>
      <c r="GB4" s="149"/>
      <c r="GC4" s="149"/>
      <c r="GD4" s="149"/>
      <c r="GE4" s="149"/>
      <c r="GF4" s="149"/>
      <c r="GG4" s="149"/>
      <c r="GH4" s="149"/>
      <c r="GI4" s="149"/>
      <c r="GJ4" s="149"/>
      <c r="GK4" s="149"/>
      <c r="GL4" s="149"/>
      <c r="GM4" s="149"/>
      <c r="GN4" s="149"/>
      <c r="GO4" s="149"/>
      <c r="GP4" s="149"/>
      <c r="GQ4" s="149"/>
      <c r="GR4" s="149"/>
      <c r="GS4" s="149"/>
      <c r="GT4" s="149"/>
      <c r="GU4" s="149"/>
      <c r="GV4" s="149"/>
      <c r="GW4" s="149"/>
      <c r="GX4" s="149"/>
      <c r="GY4" s="149"/>
      <c r="GZ4" s="149"/>
      <c r="HA4" s="149"/>
      <c r="HB4" s="149"/>
      <c r="HC4" s="149"/>
      <c r="HD4" s="149"/>
      <c r="HE4" s="149"/>
      <c r="HF4" s="149"/>
      <c r="HG4" s="149"/>
      <c r="HH4" s="149"/>
      <c r="HI4" s="149"/>
      <c r="HJ4" s="149"/>
      <c r="HK4" s="149"/>
      <c r="HL4" s="149"/>
      <c r="HM4" s="149"/>
      <c r="HN4" s="149"/>
      <c r="HO4" s="149"/>
      <c r="HP4" s="149"/>
      <c r="HQ4" s="149"/>
      <c r="HR4" s="149"/>
      <c r="HS4" s="149"/>
      <c r="HT4" s="149"/>
      <c r="HU4" s="149"/>
      <c r="HV4" s="149"/>
      <c r="HW4" s="149"/>
      <c r="HX4" s="149"/>
      <c r="HY4" s="149"/>
      <c r="HZ4" s="149"/>
      <c r="IA4" s="149"/>
      <c r="IB4" s="149"/>
      <c r="IC4" s="149"/>
      <c r="ID4" s="149"/>
      <c r="IE4" s="149"/>
      <c r="IF4" s="149"/>
      <c r="IG4" s="149"/>
      <c r="IH4" s="149"/>
      <c r="II4" s="149"/>
      <c r="IJ4" s="149"/>
      <c r="IK4" s="149"/>
      <c r="IL4" s="149"/>
      <c r="IM4" s="149"/>
      <c r="IN4" s="149"/>
      <c r="IO4" s="149"/>
      <c r="IP4" s="149"/>
      <c r="IQ4" s="149"/>
      <c r="IR4" s="149"/>
      <c r="IS4" s="149"/>
      <c r="IT4" s="149"/>
      <c r="IU4" s="149"/>
      <c r="IV4" s="149"/>
      <c r="IW4" s="149"/>
      <c r="IX4" s="149"/>
      <c r="IY4" s="149"/>
    </row>
    <row r="5" spans="1:259" s="1648" customFormat="1" ht="14.25" customHeight="1">
      <c r="A5" s="1029"/>
      <c r="B5" s="1034"/>
      <c r="C5" s="1029"/>
      <c r="D5" s="1355"/>
      <c r="E5" s="437"/>
      <c r="F5" s="437"/>
      <c r="G5" s="437"/>
      <c r="H5" s="437"/>
      <c r="I5" s="437"/>
      <c r="J5" s="437"/>
      <c r="K5" s="437"/>
      <c r="L5" s="437"/>
      <c r="M5" s="437"/>
      <c r="N5" s="437"/>
      <c r="O5" s="437"/>
      <c r="P5" s="166"/>
      <c r="Q5" s="428"/>
      <c r="R5" s="428"/>
      <c r="S5" s="428"/>
      <c r="T5" s="148"/>
      <c r="U5" s="428"/>
      <c r="V5" s="147"/>
      <c r="W5" s="147"/>
      <c r="X5" s="147"/>
      <c r="Y5" s="147"/>
    </row>
    <row r="6" spans="1:259" s="1648" customFormat="1" ht="25.5" customHeight="1">
      <c r="A6" s="1029"/>
      <c r="B6" s="1034"/>
      <c r="C6" s="1029"/>
      <c r="D6" s="1355"/>
      <c r="E6" s="1993" t="s">
        <v>2155</v>
      </c>
      <c r="F6" s="1993"/>
      <c r="G6" s="1993"/>
      <c r="H6" s="1993"/>
      <c r="I6" s="1993"/>
      <c r="J6" s="1993"/>
      <c r="K6" s="1993"/>
      <c r="L6" s="1993"/>
      <c r="M6" s="1993"/>
      <c r="N6" s="1993"/>
      <c r="O6" s="1993"/>
      <c r="P6" s="166"/>
      <c r="Q6" s="428"/>
      <c r="R6" s="428"/>
      <c r="S6" s="428"/>
      <c r="T6" s="148"/>
      <c r="U6" s="428"/>
      <c r="V6" s="147"/>
      <c r="W6" s="147"/>
      <c r="X6" s="147"/>
      <c r="Y6" s="147"/>
    </row>
    <row r="7" spans="1:259" s="1648" customFormat="1" ht="14.25" customHeight="1">
      <c r="A7" s="1029"/>
      <c r="B7" s="1034"/>
      <c r="C7" s="1029"/>
      <c r="D7" s="1355"/>
      <c r="E7" s="437"/>
      <c r="F7" s="437"/>
      <c r="G7" s="95"/>
      <c r="H7" s="95"/>
      <c r="I7" s="95"/>
      <c r="J7" s="95"/>
      <c r="K7" s="95"/>
      <c r="L7" s="95"/>
      <c r="M7" s="95"/>
      <c r="N7" s="95"/>
      <c r="O7" s="95"/>
      <c r="P7" s="428"/>
      <c r="Q7" s="428"/>
      <c r="R7" s="428"/>
      <c r="S7" s="428"/>
      <c r="T7" s="148"/>
      <c r="U7" s="428"/>
      <c r="V7" s="147"/>
      <c r="W7" s="147"/>
      <c r="X7" s="147"/>
      <c r="Y7" s="147"/>
    </row>
    <row r="8" spans="1:259" s="1727" customFormat="1" ht="42.75" customHeight="1">
      <c r="A8" s="1329"/>
      <c r="B8" s="1338"/>
      <c r="C8" s="1329"/>
      <c r="D8" s="1355"/>
      <c r="E8" s="1419" t="s">
        <v>293</v>
      </c>
      <c r="F8" s="1419"/>
      <c r="G8" s="1420" t="s">
        <v>297</v>
      </c>
      <c r="H8" s="1420" t="s">
        <v>2156</v>
      </c>
      <c r="I8" s="1420" t="s">
        <v>301</v>
      </c>
      <c r="J8" s="2402"/>
      <c r="K8" s="2403"/>
      <c r="L8" s="2404"/>
      <c r="M8" s="1420" t="s">
        <v>2157</v>
      </c>
      <c r="N8" s="1420" t="s">
        <v>2158</v>
      </c>
      <c r="O8" s="1420" t="s">
        <v>2159</v>
      </c>
      <c r="P8" s="1412"/>
      <c r="Q8" s="1412"/>
      <c r="R8" s="1412"/>
      <c r="S8" s="1412"/>
      <c r="T8" s="1413"/>
      <c r="U8" s="1412"/>
      <c r="V8" s="1414"/>
      <c r="W8" s="1414"/>
      <c r="X8" s="1414"/>
      <c r="Y8" s="1414"/>
    </row>
    <row r="9" spans="1:259" s="1648" customFormat="1" ht="47.25" customHeight="1">
      <c r="A9" s="1029"/>
      <c r="B9" s="1034"/>
      <c r="C9" s="1029"/>
      <c r="D9" s="1355"/>
      <c r="E9" s="2122" t="s">
        <v>292</v>
      </c>
      <c r="F9" s="2393" t="s">
        <v>87</v>
      </c>
      <c r="G9" s="2393" t="s">
        <v>296</v>
      </c>
      <c r="H9" s="2393" t="s">
        <v>2160</v>
      </c>
      <c r="I9" s="2393"/>
      <c r="J9" s="2393" t="s">
        <v>2161</v>
      </c>
      <c r="K9" s="2393"/>
      <c r="L9" s="2393"/>
      <c r="M9" s="2393" t="s">
        <v>2162</v>
      </c>
      <c r="N9" s="2393" t="s">
        <v>2163</v>
      </c>
      <c r="O9" s="2393" t="s">
        <v>2164</v>
      </c>
      <c r="P9" s="428"/>
      <c r="Q9" s="428"/>
      <c r="R9" s="428"/>
      <c r="S9" s="428"/>
      <c r="T9" s="148"/>
      <c r="U9" s="428"/>
      <c r="V9" s="147"/>
      <c r="W9" s="147"/>
      <c r="X9" s="147"/>
      <c r="Y9" s="147"/>
    </row>
    <row r="10" spans="1:259" s="1648" customFormat="1" ht="56.25" customHeight="1">
      <c r="A10" s="1029"/>
      <c r="B10" s="1034"/>
      <c r="C10" s="1029"/>
      <c r="D10" s="1355"/>
      <c r="E10" s="2007"/>
      <c r="F10" s="2401"/>
      <c r="G10" s="2401"/>
      <c r="H10" s="100" t="s">
        <v>2165</v>
      </c>
      <c r="I10" s="100" t="s">
        <v>300</v>
      </c>
      <c r="J10" s="2392"/>
      <c r="K10" s="2392"/>
      <c r="L10" s="2401"/>
      <c r="M10" s="2401"/>
      <c r="N10" s="2401"/>
      <c r="O10" s="2401"/>
      <c r="P10" s="428"/>
      <c r="Q10" s="428"/>
      <c r="R10" s="428"/>
      <c r="S10" s="428"/>
      <c r="T10" s="148"/>
      <c r="U10" s="428"/>
      <c r="V10" s="147"/>
      <c r="W10" s="147"/>
      <c r="X10" s="147"/>
      <c r="Y10" s="147"/>
    </row>
    <row r="11" spans="1:259" s="1969" customFormat="1" ht="22.5" customHeight="1">
      <c r="A11" s="1992">
        <v>26379339</v>
      </c>
      <c r="B11" s="1034">
        <v>1</v>
      </c>
      <c r="C11" s="1034"/>
      <c r="D11" s="707"/>
      <c r="E11" s="2122"/>
      <c r="F11" s="2122">
        <v>1</v>
      </c>
      <c r="G11" s="2399" t="str">
        <f>IF(region_name="","",region_name)</f>
        <v>Астраханская область</v>
      </c>
      <c r="H11" s="2400"/>
      <c r="I11" s="2405"/>
      <c r="J11" s="403"/>
      <c r="K11" s="1344">
        <v>1</v>
      </c>
      <c r="L11" s="1421"/>
      <c r="M11" s="1408"/>
      <c r="N11" s="1408"/>
      <c r="O11" s="1407"/>
      <c r="P11" s="1397" t="e">
        <f ca="1">MERGEVALUE(G11)</f>
        <v>#NAME?</v>
      </c>
      <c r="Q11" s="439"/>
      <c r="R11" s="439"/>
      <c r="S11" s="428" t="str">
        <f t="array" ref="S11">IF(ISERROR(MATCH(MID(T11,1,250),MID(note_ter,1,250),0)),"n","y")</f>
        <v>n</v>
      </c>
      <c r="T11" s="439"/>
      <c r="U11" s="428"/>
      <c r="V11" s="1034"/>
      <c r="W11" s="1034"/>
      <c r="X11" s="354"/>
      <c r="Y11" s="1034"/>
      <c r="Z11" s="1034"/>
      <c r="AA11" s="1034"/>
      <c r="AB11" s="356"/>
      <c r="AC11" s="356"/>
      <c r="AD11" s="353"/>
      <c r="AE11" s="353"/>
      <c r="AF11" s="353"/>
      <c r="AG11" s="353"/>
      <c r="AH11" s="353"/>
      <c r="AI11" s="353"/>
      <c r="AJ11" s="353"/>
      <c r="AK11" s="353"/>
      <c r="AL11" s="353"/>
      <c r="AM11" s="353"/>
      <c r="AN11" s="353"/>
      <c r="AO11" s="353"/>
      <c r="AP11" s="353"/>
      <c r="AQ11" s="353"/>
      <c r="AR11" s="353"/>
      <c r="AS11" s="353"/>
      <c r="AT11" s="353"/>
      <c r="AU11" s="353"/>
      <c r="AV11" s="353"/>
      <c r="AW11" s="353"/>
      <c r="AX11" s="353"/>
      <c r="AY11" s="353"/>
      <c r="AZ11" s="353"/>
      <c r="BA11" s="353"/>
      <c r="BB11" s="353"/>
      <c r="BC11" s="353"/>
      <c r="BD11" s="353"/>
      <c r="BE11" s="353"/>
      <c r="BF11" s="353"/>
      <c r="BG11" s="353"/>
      <c r="BH11" s="353"/>
      <c r="BI11" s="353"/>
      <c r="BJ11" s="353"/>
      <c r="BK11" s="353"/>
      <c r="BL11" s="353"/>
      <c r="BM11" s="353"/>
      <c r="BN11" s="353"/>
      <c r="BO11" s="353"/>
      <c r="BP11" s="353"/>
      <c r="BQ11" s="353"/>
      <c r="BR11" s="353"/>
      <c r="BS11" s="353"/>
      <c r="BT11" s="353"/>
      <c r="BU11" s="353"/>
      <c r="BV11" s="353"/>
      <c r="BW11" s="353"/>
      <c r="BX11" s="353"/>
      <c r="BY11" s="356"/>
      <c r="BZ11" s="356"/>
      <c r="CA11" s="356"/>
      <c r="CB11" s="356"/>
      <c r="CC11" s="356"/>
      <c r="CD11" s="356"/>
      <c r="CE11" s="356"/>
      <c r="CF11" s="356"/>
      <c r="CG11" s="356"/>
      <c r="CH11" s="356"/>
    </row>
    <row r="12" spans="1:259" s="1969" customFormat="1" ht="22.5" customHeight="1">
      <c r="A12" s="1992"/>
      <c r="B12" s="1034"/>
      <c r="C12" s="1034"/>
      <c r="D12" s="707"/>
      <c r="E12" s="2122"/>
      <c r="F12" s="2122"/>
      <c r="G12" s="2399"/>
      <c r="H12" s="2400"/>
      <c r="I12" s="2199"/>
      <c r="J12" s="1406"/>
      <c r="K12" s="1359"/>
      <c r="L12" s="1359" t="s">
        <v>2154</v>
      </c>
      <c r="M12" s="1409"/>
      <c r="N12" s="1409"/>
      <c r="O12" s="1410"/>
      <c r="P12" s="1397"/>
      <c r="Q12" s="439"/>
      <c r="R12" s="439"/>
      <c r="S12" s="428"/>
      <c r="T12" s="439"/>
      <c r="U12" s="428"/>
      <c r="V12" s="1034"/>
      <c r="W12" s="1034"/>
      <c r="X12" s="354"/>
      <c r="Y12" s="1034"/>
      <c r="Z12" s="1034"/>
      <c r="AA12" s="1034"/>
      <c r="AB12" s="356"/>
      <c r="AC12" s="356"/>
      <c r="AD12" s="353"/>
      <c r="AE12" s="353"/>
      <c r="AF12" s="353"/>
      <c r="AG12" s="353"/>
      <c r="AH12" s="353"/>
      <c r="AI12" s="353"/>
      <c r="AJ12" s="353"/>
      <c r="AK12" s="353"/>
      <c r="AL12" s="353"/>
      <c r="AM12" s="353"/>
      <c r="AN12" s="353"/>
      <c r="AO12" s="353"/>
      <c r="AP12" s="353"/>
      <c r="AQ12" s="353"/>
      <c r="AR12" s="353"/>
      <c r="AS12" s="353"/>
      <c r="AT12" s="353"/>
      <c r="AU12" s="353"/>
      <c r="AV12" s="353"/>
      <c r="AW12" s="353"/>
      <c r="AX12" s="353"/>
      <c r="AY12" s="353"/>
      <c r="AZ12" s="353"/>
      <c r="BA12" s="353"/>
      <c r="BB12" s="353"/>
      <c r="BC12" s="353"/>
      <c r="BD12" s="353"/>
      <c r="BE12" s="353"/>
      <c r="BF12" s="353"/>
      <c r="BG12" s="353"/>
      <c r="BH12" s="353"/>
      <c r="BI12" s="353"/>
      <c r="BJ12" s="353"/>
      <c r="BK12" s="353"/>
      <c r="BL12" s="353"/>
      <c r="BM12" s="353"/>
      <c r="BN12" s="353"/>
      <c r="BO12" s="353"/>
      <c r="BP12" s="353"/>
      <c r="BQ12" s="353"/>
      <c r="BR12" s="353"/>
      <c r="BS12" s="353"/>
      <c r="BT12" s="353"/>
      <c r="BU12" s="353"/>
      <c r="BV12" s="353"/>
      <c r="BW12" s="353"/>
      <c r="BX12" s="353"/>
      <c r="BY12" s="356"/>
      <c r="BZ12" s="356"/>
      <c r="CA12" s="356"/>
      <c r="CB12" s="356"/>
      <c r="CC12" s="356"/>
      <c r="CD12" s="356"/>
      <c r="CE12" s="356"/>
      <c r="CF12" s="356"/>
      <c r="CG12" s="356"/>
      <c r="CH12" s="356"/>
    </row>
    <row r="13" spans="1:259" s="1969" customFormat="1" ht="22.5" customHeight="1">
      <c r="A13" s="1992"/>
      <c r="B13" s="1034"/>
      <c r="C13" s="347"/>
      <c r="D13" s="707"/>
      <c r="E13" s="1403"/>
      <c r="F13" s="1406"/>
      <c r="G13" s="1359" t="s">
        <v>2148</v>
      </c>
      <c r="H13" s="1404"/>
      <c r="I13" s="1404"/>
      <c r="J13" s="112"/>
      <c r="K13" s="112"/>
      <c r="L13" s="112"/>
      <c r="M13" s="112"/>
      <c r="N13" s="112"/>
      <c r="O13" s="1405"/>
      <c r="P13" s="1398"/>
      <c r="Q13" s="439"/>
      <c r="R13" s="439"/>
      <c r="S13" s="439"/>
      <c r="T13" s="428"/>
      <c r="U13" s="439"/>
      <c r="V13" s="1034"/>
      <c r="W13" s="1034"/>
      <c r="X13" s="354"/>
      <c r="Y13" s="1034"/>
      <c r="Z13" s="1034"/>
      <c r="AA13" s="1034"/>
      <c r="AB13" s="356"/>
      <c r="AC13" s="356"/>
      <c r="AD13" s="353"/>
      <c r="AE13" s="353"/>
      <c r="AF13" s="353"/>
      <c r="AG13" s="353"/>
      <c r="AH13" s="353"/>
      <c r="AI13" s="353"/>
      <c r="AJ13" s="353"/>
      <c r="AK13" s="353"/>
      <c r="AL13" s="353"/>
      <c r="AM13" s="353"/>
      <c r="AN13" s="353"/>
      <c r="AO13" s="353"/>
      <c r="AP13" s="353"/>
      <c r="AQ13" s="353"/>
      <c r="AR13" s="353"/>
      <c r="AS13" s="353"/>
      <c r="AT13" s="353"/>
      <c r="AU13" s="353"/>
      <c r="AV13" s="353"/>
      <c r="AW13" s="353"/>
      <c r="AX13" s="353"/>
      <c r="AY13" s="353"/>
      <c r="AZ13" s="353"/>
      <c r="BA13" s="353"/>
      <c r="BB13" s="353"/>
      <c r="BC13" s="353"/>
      <c r="BD13" s="353"/>
      <c r="BE13" s="353"/>
      <c r="BF13" s="353"/>
      <c r="BG13" s="353"/>
      <c r="BH13" s="353"/>
      <c r="BI13" s="353"/>
      <c r="BJ13" s="353"/>
      <c r="BK13" s="353"/>
      <c r="BL13" s="353"/>
      <c r="BM13" s="353"/>
      <c r="BN13" s="353"/>
      <c r="BO13" s="353"/>
      <c r="BP13" s="353"/>
      <c r="BQ13" s="353"/>
      <c r="BR13" s="353"/>
      <c r="BS13" s="353"/>
      <c r="BT13" s="353"/>
      <c r="BU13" s="353"/>
      <c r="BV13" s="353"/>
      <c r="BW13" s="353"/>
      <c r="BX13" s="353"/>
      <c r="BY13" s="356"/>
      <c r="BZ13" s="356"/>
      <c r="CA13" s="356"/>
      <c r="CB13" s="356"/>
      <c r="CC13" s="356"/>
      <c r="CD13" s="356"/>
      <c r="CE13" s="356"/>
      <c r="CF13" s="356"/>
      <c r="CG13" s="356"/>
      <c r="CH13" s="356"/>
    </row>
    <row r="14" spans="1:259" s="1648" customFormat="1" ht="21" customHeight="1">
      <c r="A14" s="1029"/>
      <c r="B14" s="1034"/>
      <c r="C14" s="1029"/>
      <c r="D14" s="384"/>
      <c r="E14" s="108"/>
      <c r="F14" s="108"/>
      <c r="G14" s="108"/>
      <c r="H14" s="108"/>
      <c r="I14" s="108"/>
      <c r="J14" s="108"/>
      <c r="K14" s="108"/>
      <c r="L14" s="108"/>
      <c r="M14" s="108"/>
      <c r="N14" s="437"/>
      <c r="O14" s="437"/>
      <c r="P14" s="428"/>
      <c r="Q14" s="428"/>
      <c r="R14" s="428"/>
      <c r="S14" s="428"/>
      <c r="T14" s="148"/>
      <c r="U14" s="428"/>
      <c r="V14" s="147"/>
      <c r="W14" s="147"/>
      <c r="X14" s="147"/>
      <c r="Y14" s="147"/>
    </row>
    <row r="15" spans="1:259" s="1648" customFormat="1" ht="14.25" customHeight="1">
      <c r="A15" s="1029"/>
      <c r="B15" s="1034"/>
      <c r="C15" s="1029"/>
      <c r="D15" s="384"/>
      <c r="E15" s="1029"/>
      <c r="F15" s="1029"/>
      <c r="G15" s="1029"/>
      <c r="H15" s="1029"/>
      <c r="I15" s="1029"/>
      <c r="J15" s="1029"/>
      <c r="K15" s="1029"/>
      <c r="L15" s="1029"/>
      <c r="M15" s="1029"/>
      <c r="N15" s="1029"/>
      <c r="O15" s="1029"/>
      <c r="P15" s="428"/>
      <c r="Q15" s="428"/>
      <c r="R15" s="428"/>
      <c r="S15" s="428"/>
      <c r="T15" s="148"/>
      <c r="U15" s="428"/>
      <c r="V15" s="147"/>
      <c r="W15" s="147"/>
      <c r="X15" s="147"/>
      <c r="Y15" s="147"/>
    </row>
    <row r="16" spans="1:259" s="1648" customFormat="1" ht="0.75" customHeight="1">
      <c r="A16" s="1029"/>
      <c r="B16" s="1034"/>
      <c r="C16" s="1029"/>
      <c r="D16" s="384"/>
      <c r="E16" s="1029"/>
      <c r="F16" s="1029"/>
      <c r="G16" s="1029"/>
      <c r="H16" s="1029"/>
      <c r="I16" s="1029"/>
      <c r="J16" s="1029"/>
      <c r="K16" s="1029"/>
      <c r="L16" s="1029"/>
      <c r="M16" s="1029"/>
      <c r="N16" s="1029"/>
      <c r="O16" s="1029"/>
      <c r="P16" s="428"/>
      <c r="Q16" s="428"/>
      <c r="R16" s="428"/>
      <c r="S16" s="428"/>
      <c r="T16" s="148"/>
      <c r="U16" s="428"/>
      <c r="V16" s="147"/>
      <c r="W16" s="147"/>
      <c r="X16" s="147"/>
      <c r="Y16" s="147"/>
    </row>
  </sheetData>
  <sheetProtection formatColumns="0" formatRows="0" insertRows="0" deleteColumns="0" deleteRows="0" sort="0" autoFilter="0"/>
  <mergeCells count="21">
    <mergeCell ref="A11:A13"/>
    <mergeCell ref="E11:E12"/>
    <mergeCell ref="G11:G12"/>
    <mergeCell ref="H11:H12"/>
    <mergeCell ref="E6:O6"/>
    <mergeCell ref="E9:E10"/>
    <mergeCell ref="G9:G10"/>
    <mergeCell ref="M9:M10"/>
    <mergeCell ref="F9:F10"/>
    <mergeCell ref="F11:F12"/>
    <mergeCell ref="J8:L8"/>
    <mergeCell ref="N9:N10"/>
    <mergeCell ref="O9:O10"/>
    <mergeCell ref="I11:I12"/>
    <mergeCell ref="H9:I9"/>
    <mergeCell ref="J9:L10"/>
    <mergeCell ref="E2:E3"/>
    <mergeCell ref="F2:F3"/>
    <mergeCell ref="G2:G3"/>
    <mergeCell ref="H2:H3"/>
    <mergeCell ref="I2:I3"/>
  </mergeCells>
  <dataValidations count="1">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Мониторинг&quot;." sqref="M2:O4 L2 O11 M12:O12">
      <formula1>900</formula1>
    </dataValidation>
  </dataValidation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6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CCCCFF"/>
    <pageSetUpPr fitToPage="1"/>
  </sheetPr>
  <dimension ref="A1:L12"/>
  <sheetViews>
    <sheetView showGridLines="0" tabSelected="1" topLeftCell="C6" zoomScale="90" workbookViewId="0"/>
  </sheetViews>
  <sheetFormatPr defaultColWidth="9.140625" defaultRowHeight="14.25" customHeight="1"/>
  <cols>
    <col min="1" max="2" width="9.140625" style="1729" hidden="1"/>
    <col min="3" max="3" width="3.7109375" style="1725" customWidth="1"/>
    <col min="4" max="4" width="6.28515625" style="1729" customWidth="1"/>
    <col min="5" max="5" width="94.85546875" style="1729" customWidth="1"/>
    <col min="6" max="12" width="9.140625" style="1729"/>
  </cols>
  <sheetData>
    <row r="1" spans="3:12" ht="14.25" hidden="1" customHeight="1">
      <c r="L1" s="182"/>
    </row>
    <row r="2" spans="3:12" ht="14.25" hidden="1" customHeight="1"/>
    <row r="3" spans="3:12" ht="14.25" hidden="1" customHeight="1"/>
    <row r="4" spans="3:12" ht="14.25" hidden="1" customHeight="1"/>
    <row r="5" spans="3:12" ht="14.25" hidden="1" customHeight="1"/>
    <row r="6" spans="3:12" ht="3" customHeight="1">
      <c r="C6" s="30"/>
      <c r="D6" s="10"/>
      <c r="E6" s="10"/>
    </row>
    <row r="7" spans="3:12" ht="22.5" customHeight="1">
      <c r="C7" s="30"/>
      <c r="D7" s="1993" t="s">
        <v>2166</v>
      </c>
      <c r="E7" s="1993"/>
      <c r="F7" s="185"/>
    </row>
    <row r="8" spans="3:12" ht="3" customHeight="1">
      <c r="C8" s="30"/>
      <c r="D8" s="10"/>
      <c r="E8" s="10"/>
    </row>
    <row r="9" spans="3:12" ht="15.75" customHeight="1">
      <c r="C9" s="30"/>
      <c r="D9" s="41" t="s">
        <v>87</v>
      </c>
      <c r="E9" s="44" t="s">
        <v>279</v>
      </c>
    </row>
    <row r="10" spans="3:12" ht="12" customHeight="1">
      <c r="C10" s="30"/>
      <c r="D10" s="26" t="s">
        <v>108</v>
      </c>
      <c r="E10" s="26" t="s">
        <v>109</v>
      </c>
    </row>
    <row r="11" spans="3:12" ht="15" hidden="1" customHeight="1">
      <c r="C11" s="30"/>
      <c r="D11" s="48">
        <v>0</v>
      </c>
      <c r="E11" s="78"/>
    </row>
    <row r="12" spans="3:12" ht="14.25" customHeight="1">
      <c r="C12" s="30"/>
      <c r="D12" s="45"/>
      <c r="E12" s="43" t="s">
        <v>2125</v>
      </c>
    </row>
  </sheetData>
  <sheetProtection formatColumns="0" formatRows="0" insertRows="0" deleteColumns="0" deleteRows="0" sort="0" autoFilter="0"/>
  <mergeCells count="1">
    <mergeCell ref="D7:E7"/>
  </mergeCells>
  <dataValidations count="1">
    <dataValidation type="textLength" operator="lessThanOrEqual" allowBlank="1" showInputMessage="1" showErrorMessage="1" errorTitle="Ошибка" error="Допускается ввод не более 900 символов!" sqref="E11">
      <formula1>900</formula1>
    </dataValidation>
  </dataValidations>
  <pageMargins left="0.75" right="0.75" top="1" bottom="1" header="0.5" footer="0.5"/>
  <pageSetup paperSize="9" scale="94" orientation="portrait"/>
  <headerFooter>
    <oddHeader>&amp;L&amp;C&amp;R</oddHeader>
    <oddFooter>&amp;L&amp;C&amp;R</oddFooter>
    <evenHeader>&amp;L&amp;C&amp;R</evenHeader>
    <evenFooter>&amp;L&amp;C&amp;R</evenFooter>
  </headerFooter>
</worksheet>
</file>

<file path=xl/worksheets/sheet6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CCCCFF"/>
  </sheetPr>
  <dimension ref="A1:E4"/>
  <sheetViews>
    <sheetView showGridLines="0" zoomScale="90" workbookViewId="0"/>
  </sheetViews>
  <sheetFormatPr defaultColWidth="9.140625" defaultRowHeight="11.25" customHeight="1"/>
  <cols>
    <col min="1" max="1" width="1.7109375" style="1969" customWidth="1"/>
    <col min="2" max="2" width="34.5703125" style="1969" customWidth="1"/>
    <col min="3" max="3" width="85.5703125" style="1969" customWidth="1"/>
    <col min="4" max="4" width="17.7109375" style="1969" customWidth="1"/>
    <col min="5" max="5" width="9.140625" style="1969"/>
  </cols>
  <sheetData>
    <row r="1" spans="2:5" ht="3" customHeight="1"/>
    <row r="2" spans="2:5" ht="22.5" customHeight="1">
      <c r="B2" s="2406" t="s">
        <v>2167</v>
      </c>
      <c r="C2" s="2406"/>
      <c r="D2" s="2406"/>
      <c r="E2" s="186"/>
    </row>
    <row r="3" spans="2:5" ht="3" customHeight="1"/>
    <row r="4" spans="2:5" ht="21.75" customHeight="1">
      <c r="B4" s="315" t="s">
        <v>2168</v>
      </c>
      <c r="C4" s="315" t="s">
        <v>2169</v>
      </c>
      <c r="D4" s="315" t="s">
        <v>2170</v>
      </c>
    </row>
  </sheetData>
  <sheetProtection formatColumns="0" formatRows="0" insertRows="0" deleteColumns="0" deleteRows="0" sort="0" autoFilter="0"/>
  <autoFilter ref="B4:D4"/>
  <mergeCells count="1">
    <mergeCell ref="B2:D2"/>
  </mergeCell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6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C99"/>
  </sheetPr>
  <dimension ref="A1"/>
  <sheetViews>
    <sheetView showGridLines="0" workbookViewId="0"/>
  </sheetViews>
  <sheetFormatPr defaultRowHeight="11.25" customHeight="1"/>
  <sheetData>
    <row r="1" spans="1:1" ht="11.25" customHeight="1">
      <c r="A1" s="7"/>
    </row>
  </sheetData>
  <sheetProtection insertRows="0" deleteColumns="0" deleteRows="0" sort="0" autoFilter="0"/>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3" tint="0.59999389629810485"/>
  </sheetPr>
  <dimension ref="A1:I58"/>
  <sheetViews>
    <sheetView showGridLines="0" topLeftCell="C3" zoomScale="90" workbookViewId="0"/>
  </sheetViews>
  <sheetFormatPr defaultColWidth="9.140625" defaultRowHeight="11.25" customHeight="1"/>
  <cols>
    <col min="1" max="1" width="15" style="1724" hidden="1" customWidth="1"/>
    <col min="2" max="2" width="15" style="1641" hidden="1" customWidth="1"/>
    <col min="3" max="3" width="3.7109375" style="1646" customWidth="1"/>
    <col min="4" max="4" width="6.85546875" style="1647" customWidth="1"/>
    <col min="5" max="5" width="52.28515625" style="1646" customWidth="1"/>
    <col min="6" max="6" width="48.85546875" style="1646" customWidth="1"/>
    <col min="7" max="7" width="121.7109375" style="1646" customWidth="1"/>
    <col min="8" max="8" width="9.140625" style="1646"/>
    <col min="9" max="9" width="65" style="1646" customWidth="1"/>
  </cols>
  <sheetData>
    <row r="1" spans="1:9" ht="11.25" hidden="1" customHeight="1">
      <c r="A1" s="1543" t="s">
        <v>291</v>
      </c>
    </row>
    <row r="2" spans="1:9" ht="11.25" hidden="1" customHeight="1"/>
    <row r="3" spans="1:9" s="1640" customFormat="1" ht="11.25" customHeight="1">
      <c r="A3" s="1543"/>
      <c r="B3" s="429"/>
      <c r="D3" s="406"/>
    </row>
    <row r="4" spans="1:9" ht="36.75" customHeight="1">
      <c r="D4" s="2000" t="str">
        <f>ORG_INFO_NAME_FORM</f>
        <v>Форма 1. Информация о регулируемой организации, осуществляющей горячее водоснабжение
(далее – регулируемая организация) (общая информация)</v>
      </c>
      <c r="E4" s="2001"/>
      <c r="F4" s="2002"/>
      <c r="I4" s="628"/>
    </row>
    <row r="5" spans="1:9" ht="17.25" customHeight="1">
      <c r="D5" s="2099" t="str">
        <f>IF(org=0,"Не определено",org)</f>
        <v>МУП г. Астрахани "Коммунэнерго"</v>
      </c>
      <c r="E5" s="2099"/>
      <c r="F5" s="2099"/>
      <c r="I5" s="628"/>
    </row>
    <row r="6" spans="1:9" s="1640" customFormat="1" ht="11.25" customHeight="1">
      <c r="A6" s="1543"/>
      <c r="B6" s="429"/>
      <c r="D6" s="627"/>
      <c r="E6" s="627"/>
      <c r="F6" s="664"/>
      <c r="G6" s="627"/>
    </row>
    <row r="7" spans="1:9" ht="11.25" hidden="1" customHeight="1">
      <c r="A7" s="387"/>
      <c r="B7" s="430"/>
      <c r="C7" s="387"/>
      <c r="D7" s="392"/>
      <c r="E7" s="2095"/>
      <c r="F7" s="2095"/>
    </row>
    <row r="8" spans="1:9" ht="11.25" customHeight="1">
      <c r="A8" s="387"/>
      <c r="B8" s="430"/>
      <c r="C8" s="387"/>
      <c r="D8" s="2091" t="s">
        <v>292</v>
      </c>
      <c r="E8" s="2092"/>
      <c r="F8" s="2092"/>
      <c r="G8" s="2096" t="s">
        <v>293</v>
      </c>
    </row>
    <row r="9" spans="1:9" ht="11.25" customHeight="1">
      <c r="A9" s="387"/>
      <c r="B9" s="430"/>
      <c r="C9" s="387"/>
      <c r="D9" s="401" t="s">
        <v>87</v>
      </c>
      <c r="E9" s="380" t="s">
        <v>294</v>
      </c>
      <c r="F9" s="380" t="s">
        <v>295</v>
      </c>
      <c r="G9" s="2097"/>
    </row>
    <row r="10" spans="1:9" ht="12" hidden="1" customHeight="1">
      <c r="A10" s="387"/>
      <c r="B10" s="430"/>
      <c r="C10" s="387"/>
      <c r="D10" s="393"/>
      <c r="E10" s="393"/>
      <c r="F10" s="393"/>
      <c r="G10" s="393"/>
    </row>
    <row r="11" spans="1:9" ht="22.5" hidden="1" customHeight="1">
      <c r="A11" s="387"/>
      <c r="B11" s="430"/>
      <c r="C11" s="387"/>
      <c r="D11" s="901" t="s">
        <v>108</v>
      </c>
      <c r="E11" s="904" t="s">
        <v>296</v>
      </c>
      <c r="F11" s="903" t="str">
        <f>IF(region_name="","",region_name)</f>
        <v>Астраханская область</v>
      </c>
      <c r="G11" s="904" t="s">
        <v>297</v>
      </c>
      <c r="H11" s="404"/>
    </row>
    <row r="12" spans="1:9" ht="22.5" hidden="1" customHeight="1">
      <c r="A12" s="387"/>
      <c r="B12" s="430"/>
      <c r="C12" s="387"/>
      <c r="D12" s="379" t="s">
        <v>108</v>
      </c>
      <c r="E12" s="378" t="str">
        <f>IF(TEMPLATE_SPHERE="TKO","Данные об организации (индивидуальном предпринимателе)","Данные о регулируемой организации"&amp;IF(TEMPLATE_SPHERE="HEAT",", о единой теплоснабжающей организации в ценовых зонах теплоснабжения, о теплоснабжающей организации в ценовых зонах теплоснабжения и теплосетевой организации в ценовых зонах теплоснабжения ",""))</f>
        <v>Данные о регулируемой организации</v>
      </c>
      <c r="F12" s="377" t="s">
        <v>298</v>
      </c>
      <c r="G12" s="403"/>
      <c r="H12" s="404"/>
    </row>
    <row r="13" spans="1:9" ht="22.5" customHeight="1">
      <c r="A13" s="387"/>
      <c r="B13" s="430"/>
      <c r="C13" s="387"/>
      <c r="D13" s="379" t="s">
        <v>108</v>
      </c>
      <c r="E13" s="376" t="str">
        <f>"Наименование юридического лица"&amp;IF(TEMPLATE_SPHERE="TKO"," (индивидуального предпринимателя)","")</f>
        <v>Наименование юридического лица</v>
      </c>
      <c r="F13" s="375"/>
      <c r="G13" s="378" t="str">
        <f>"Наименование юридического лица"&amp;IF(TEMPLATE_SPHERE="HEAT"," (согласно уставу регулируемой организации)"," указывается согласно уставу "&amp;IF(TEMPLATE_SPHERE="TKO","организации. Наименование индивидуального предпринимателя указывается согласно сведениям из ЕГРИП.","регулируемой организации."))</f>
        <v>Наименование юридического лица указывается согласно уставу регулируемой организации.</v>
      </c>
      <c r="H13" s="404"/>
    </row>
    <row r="14" spans="1:9" ht="22.5" hidden="1" customHeight="1">
      <c r="A14" s="387"/>
      <c r="B14" s="430"/>
      <c r="C14" s="387"/>
      <c r="D14" s="901" t="s">
        <v>299</v>
      </c>
      <c r="E14" s="902" t="s">
        <v>300</v>
      </c>
      <c r="F14" s="903" t="str">
        <f>IF(inn="","",inn)</f>
        <v>3018010781</v>
      </c>
      <c r="G14" s="904" t="s">
        <v>301</v>
      </c>
      <c r="H14" s="404"/>
    </row>
    <row r="15" spans="1:9" ht="22.5" hidden="1" customHeight="1">
      <c r="A15" s="387"/>
      <c r="B15" s="430"/>
      <c r="C15" s="387"/>
      <c r="D15" s="901" t="s">
        <v>302</v>
      </c>
      <c r="E15" s="902" t="s">
        <v>303</v>
      </c>
      <c r="F15" s="903" t="str">
        <f>IF(kpp="","",kpp)</f>
        <v>301801001</v>
      </c>
      <c r="G15" s="904" t="s">
        <v>304</v>
      </c>
      <c r="H15" s="404"/>
    </row>
    <row r="16" spans="1:9" ht="36.75" customHeight="1">
      <c r="A16" s="387"/>
      <c r="B16" s="430"/>
      <c r="C16" s="387"/>
      <c r="D16" s="379" t="s">
        <v>109</v>
      </c>
      <c r="E16" s="376" t="str">
        <f>"Основной государственный регистрационный номер (ОГРН)"&amp;IF(TEMPLATE_SPHERE="TKO",""," (основной государственный регистрационный номер индивидуального предпринимателя (ОГРНИП)")</f>
        <v>Основной государственный регистрационный номер (ОГРН) (основной государственный регистрационный номер индивидуального предпринимателя (ОГРНИП)</v>
      </c>
      <c r="F16" s="375"/>
      <c r="G16" s="378" t="str">
        <f>"Указывается основной государственный регистрационный номер юридического лица"&amp;IF(TEMPLATE_SPHERE="TKO",""," (индивидуального предпринимателя)")&amp;"."</f>
        <v>Указывается основной государственный регистрационный номер юридического лица (индивидуального предпринимателя).</v>
      </c>
      <c r="H16" s="404"/>
    </row>
    <row r="17" spans="1:9" ht="22.5" customHeight="1">
      <c r="A17" s="387"/>
      <c r="B17" s="430"/>
      <c r="C17" s="387"/>
      <c r="D17" s="379" t="s">
        <v>89</v>
      </c>
      <c r="E17" s="376" t="str">
        <f>"Дата присвоения ОГРН"&amp;IF(TEMPLATE_SPHERE="TKO",""," (ОГРНИП)")</f>
        <v>Дата присвоения ОГРН (ОГРНИП)</v>
      </c>
      <c r="F17" s="1589" t="s">
        <v>17</v>
      </c>
      <c r="G17" s="378" t="str">
        <f>"Дата присвоения ОГРН"&amp;IF(TEMPLATE_SPHERE="TKO",""," (ОГРНИП)")&amp;" указывается в виде «ДД.ММ.ГГГГ»."</f>
        <v>Дата присвоения ОГРН (ОГРНИП) указывается в виде «ДД.ММ.ГГГГ».</v>
      </c>
      <c r="H17" s="404"/>
    </row>
    <row r="18" spans="1:9" ht="56.25" customHeight="1">
      <c r="A18" s="387"/>
      <c r="B18" s="430"/>
      <c r="C18" s="387"/>
      <c r="D18" s="379" t="s">
        <v>90</v>
      </c>
      <c r="E18" s="376" t="str">
        <f>"Наименование органа, принявшего решение о "&amp;IF(TEMPLATE_SPHERE="TKO","государственной регистрации организации ","регистрации в соответствии со свидетельством о государственной регистрации")&amp;" в качестве юридического лица (о государственной регистрации физического лица в качестве индивидуального предпринимателя)"</f>
        <v>Наименование органа, принявшего решение о регистрации в соответствии со свидетельством о государственной регистрации в качестве юридического лица (о государственной регистрации физического лица в качестве индивидуального предпринимателя)</v>
      </c>
      <c r="F18" s="375"/>
      <c r="G18" s="403"/>
      <c r="H18" s="404"/>
    </row>
    <row r="19" spans="1:9" ht="22.5" hidden="1" customHeight="1">
      <c r="A19" s="2093">
        <v>1</v>
      </c>
      <c r="B19" s="430"/>
      <c r="C19" s="2098"/>
      <c r="D19" s="374">
        <v>5</v>
      </c>
      <c r="E19" s="376" t="s">
        <v>305</v>
      </c>
      <c r="F19" s="377" t="s">
        <v>298</v>
      </c>
      <c r="G19" s="378" t="s">
        <v>306</v>
      </c>
      <c r="H19" s="404"/>
      <c r="I19" s="753"/>
    </row>
    <row r="20" spans="1:9" ht="33.75" hidden="1" customHeight="1">
      <c r="A20" s="2093"/>
      <c r="B20" s="430"/>
      <c r="C20" s="2098"/>
      <c r="D20" s="379" t="s">
        <v>307</v>
      </c>
      <c r="E20" s="373" t="s">
        <v>308</v>
      </c>
      <c r="F20" s="777" t="s">
        <v>17</v>
      </c>
      <c r="G20" s="403"/>
      <c r="H20" s="404"/>
      <c r="I20" s="753"/>
    </row>
    <row r="21" spans="1:9" ht="22.5" hidden="1" customHeight="1">
      <c r="A21" s="2093"/>
      <c r="B21" s="430"/>
      <c r="C21" s="2098"/>
      <c r="D21" s="379" t="s">
        <v>309</v>
      </c>
      <c r="E21" s="373" t="s">
        <v>310</v>
      </c>
      <c r="F21" s="1590" t="s">
        <v>17</v>
      </c>
      <c r="G21" s="378" t="s">
        <v>311</v>
      </c>
      <c r="H21" s="404"/>
      <c r="I21" s="753"/>
    </row>
    <row r="22" spans="1:9" ht="22.5" hidden="1" customHeight="1">
      <c r="A22" s="2093"/>
      <c r="B22" s="430"/>
      <c r="C22" s="2098"/>
      <c r="D22" s="379" t="s">
        <v>312</v>
      </c>
      <c r="E22" s="373" t="s">
        <v>313</v>
      </c>
      <c r="F22" s="777" t="s">
        <v>17</v>
      </c>
      <c r="G22" s="403"/>
      <c r="H22" s="404"/>
      <c r="I22" s="753"/>
    </row>
    <row r="23" spans="1:9" ht="22.5" hidden="1" customHeight="1">
      <c r="A23" s="2093"/>
      <c r="B23" s="430"/>
      <c r="C23" s="2098"/>
      <c r="D23" s="379" t="s">
        <v>314</v>
      </c>
      <c r="E23" s="373" t="s">
        <v>315</v>
      </c>
      <c r="F23" s="777" t="s">
        <v>17</v>
      </c>
      <c r="G23" s="378" t="s">
        <v>316</v>
      </c>
      <c r="H23" s="404"/>
      <c r="I23" s="753"/>
    </row>
    <row r="24" spans="1:9" s="1641" customFormat="1" ht="24.75" hidden="1" customHeight="1">
      <c r="A24" s="387"/>
      <c r="B24" s="430"/>
      <c r="C24" s="430"/>
      <c r="D24" s="898" t="s">
        <v>89</v>
      </c>
      <c r="E24" s="900" t="s">
        <v>317</v>
      </c>
      <c r="F24" s="905" t="s">
        <v>298</v>
      </c>
      <c r="G24" s="900"/>
    </row>
    <row r="25" spans="1:9" s="1641" customFormat="1" ht="11.25" hidden="1" customHeight="1">
      <c r="A25" s="387"/>
      <c r="B25" s="430"/>
      <c r="C25" s="430"/>
      <c r="D25" s="898" t="s">
        <v>318</v>
      </c>
      <c r="E25" s="899" t="s">
        <v>319</v>
      </c>
      <c r="F25" s="905" t="s">
        <v>298</v>
      </c>
      <c r="G25" s="900"/>
    </row>
    <row r="26" spans="1:9" s="1641" customFormat="1" ht="11.25" hidden="1" customHeight="1">
      <c r="A26" s="387"/>
      <c r="B26" s="430"/>
      <c r="C26" s="430"/>
      <c r="D26" s="898" t="s">
        <v>320</v>
      </c>
      <c r="E26" s="906" t="s">
        <v>321</v>
      </c>
      <c r="F26" s="907"/>
      <c r="G26" s="900" t="str">
        <f>"Указывается фамилия должностного лица"&amp;IF(TEMPLATE_SPHERE="HEAT"," регулируемой","")&amp;" организации"&amp;IF(TEMPLATE_SPHERE="HEAT",""," "&amp;TEMPLATE_SPHERE_RUS)&amp;", ответственного за размещение данных, в соответствии с паспортными данными физического лица."</f>
        <v>Указывается фамилия должностного лица организации горячего водоснабжения, ответственного за размещение данных, в соответствии с паспортными данными физического лица.</v>
      </c>
    </row>
    <row r="27" spans="1:9" s="1641" customFormat="1" ht="11.25" hidden="1" customHeight="1">
      <c r="A27" s="387"/>
      <c r="B27" s="430"/>
      <c r="C27" s="430"/>
      <c r="D27" s="898" t="s">
        <v>322</v>
      </c>
      <c r="E27" s="906" t="s">
        <v>323</v>
      </c>
      <c r="F27" s="907"/>
      <c r="G27" s="900" t="str">
        <f>"Указывается имя должностного лица"&amp;IF(TEMPLATE_SPHERE="HEAT"," регулируемой","")&amp;" организации"&amp;IF(TEMPLATE_SPHERE="HEAT",""," "&amp;TEMPLATE_SPHERE_RUS)&amp;", ответственного за размещение данных, в соответствии с паспортными данными физического лица."</f>
        <v>Указывается имя должностного лица организации горячего водоснабжения, ответственного за размещение данных, в соответствии с паспортными данными физического лица.</v>
      </c>
    </row>
    <row r="28" spans="1:9" s="1641" customFormat="1" ht="11.25" hidden="1" customHeight="1">
      <c r="A28" s="387"/>
      <c r="B28" s="430"/>
      <c r="C28" s="430"/>
      <c r="D28" s="898" t="s">
        <v>324</v>
      </c>
      <c r="E28" s="906" t="s">
        <v>325</v>
      </c>
      <c r="F28" s="907"/>
      <c r="G28" s="900" t="str">
        <f>"Указывается отчество должностного лица"&amp;IF(TEMPLATE_SPHERE="HEAT"," регулируемой","")&amp;" организации"&amp;IF(TEMPLATE_SPHERE="HEAT",""," "&amp;TEMPLATE_SPHERE_RUS)&amp;", ответственного за размещение данных, в соответствии с паспортными данными физического лица (при наличии)."</f>
        <v>Указывается отчество должностного лица организации горячего водоснабжения, ответственного за размещение данных, в соответствии с паспортными данными физического лица (при наличии).</v>
      </c>
    </row>
    <row r="29" spans="1:9" s="1641" customFormat="1" ht="11.25" hidden="1" customHeight="1">
      <c r="A29" s="387"/>
      <c r="B29" s="430"/>
      <c r="C29" s="430"/>
      <c r="D29" s="898" t="s">
        <v>326</v>
      </c>
      <c r="E29" s="899" t="s">
        <v>327</v>
      </c>
      <c r="F29" s="907"/>
      <c r="G29" s="900"/>
    </row>
    <row r="30" spans="1:9" s="1641" customFormat="1" ht="11.25" hidden="1" customHeight="1">
      <c r="A30" s="387"/>
      <c r="B30" s="430"/>
      <c r="C30" s="430"/>
      <c r="D30" s="898" t="s">
        <v>328</v>
      </c>
      <c r="E30" s="899" t="s">
        <v>329</v>
      </c>
      <c r="F30" s="907"/>
      <c r="G30" s="900"/>
    </row>
    <row r="31" spans="1:9" s="1641" customFormat="1" ht="11.25" hidden="1" customHeight="1">
      <c r="A31" s="387"/>
      <c r="B31" s="430"/>
      <c r="C31" s="430"/>
      <c r="D31" s="898" t="s">
        <v>330</v>
      </c>
      <c r="E31" s="899" t="s">
        <v>331</v>
      </c>
      <c r="F31" s="1642"/>
      <c r="G31" s="900"/>
    </row>
    <row r="32" spans="1:9" ht="22.5" customHeight="1">
      <c r="A32" s="387" t="str">
        <f>IF(TEMPLATE_SPHERE="HEAT","6","5")</f>
        <v>5</v>
      </c>
      <c r="B32" s="430"/>
      <c r="C32" s="387"/>
      <c r="D32" s="374" t="str">
        <f>A32</f>
        <v>5</v>
      </c>
      <c r="E32" s="372" t="str">
        <f>"Фамилия, имя и отчество руководителя"&amp;IF(TEMPLATE_SPHERE="HEAT"," регулируемой организации, ЕТО, ТО ",IF(TEMPLATE_SPHERE&lt;&gt;"TKO"," регулируемой организации"," организации"))&amp;IF(TEMPLATE_SPHERE&lt;&gt;"TKO"," (индивидуального предпринимателя)","")&amp;":"</f>
        <v>Фамилия, имя и отчество руководителя регулируемой организации (индивидуального предпринимателя):</v>
      </c>
      <c r="F32" s="377" t="s">
        <v>298</v>
      </c>
      <c r="G32" s="403"/>
      <c r="H32" s="404"/>
    </row>
    <row r="33" spans="1:8" ht="22.5" customHeight="1">
      <c r="A33" s="387"/>
      <c r="B33" s="430"/>
      <c r="C33" s="387"/>
      <c r="D33" s="374" t="str">
        <f>D32&amp;".1"</f>
        <v>5.1</v>
      </c>
      <c r="E33" s="376" t="str">
        <f>"фамилия"&amp;IF(TEMPLATE_SPHERE&lt;&gt;"HEAT"," руководителя","")</f>
        <v>фамилия руководителя</v>
      </c>
      <c r="F33" s="375"/>
      <c r="G33" s="378" t="str">
        <f>"Указывается фамилия руководителя"&amp;IF(TEMPLATE_SPHERE&lt;&gt;"TKO"," регулируемой организации"&amp;IF(TEMPLATE_SPHERE="HEAT",", ЕТО, ТО","")," организации")&amp;" в соответствии с паспортными данными физического лица."</f>
        <v>Указывается фамилия руководителя регулируемой организации в соответствии с паспортными данными физического лица.</v>
      </c>
      <c r="H33" s="404"/>
    </row>
    <row r="34" spans="1:8" ht="22.5" customHeight="1">
      <c r="A34" s="387"/>
      <c r="B34" s="430"/>
      <c r="C34" s="387"/>
      <c r="D34" s="374" t="str">
        <f>D32&amp;".2"</f>
        <v>5.2</v>
      </c>
      <c r="E34" s="376" t="str">
        <f>"имя"&amp;IF(TEMPLATE_SPHERE&lt;&gt;"HEAT"," руководителя","")</f>
        <v>имя руководителя</v>
      </c>
      <c r="F34" s="375"/>
      <c r="G34" s="378" t="str">
        <f>"Указывается имя руководителя"&amp;IF(TEMPLATE_SPHERE&lt;&gt;"TKO"," регулируемой организации"&amp;IF(TEMPLATE_SPHERE="HEAT",", ЕТО, ТО","")," организации")&amp;" в соответствии с паспортными данными физического лица."</f>
        <v>Указывается имя руководителя регулируемой организации в соответствии с паспортными данными физического лица.</v>
      </c>
      <c r="H34" s="404"/>
    </row>
    <row r="35" spans="1:8" ht="22.5" customHeight="1">
      <c r="A35" s="387"/>
      <c r="B35" s="430"/>
      <c r="C35" s="387"/>
      <c r="D35" s="374" t="str">
        <f>D32&amp;".3"</f>
        <v>5.3</v>
      </c>
      <c r="E35" s="376" t="str">
        <f>"отчество"&amp;IF(TEMPLATE_SPHERE&lt;&gt;"HEAT"," руководителя","")</f>
        <v>отчество руководителя</v>
      </c>
      <c r="F35" s="612"/>
      <c r="G35" s="378" t="str">
        <f>"Указывается отчество руководителя"&amp;IF(TEMPLATE_SPHERE&lt;&gt;"TKO"," регулируемой организации"&amp;IF(TEMPLATE_SPHERE="HEAT",", ЕТО, ТО","")," организации")&amp;" в соответствии с паспортными данными физического лица (при наличии)."</f>
        <v>Указывается отчество руководителя регулируемой организации в соответствии с паспортными данными физического лица (при наличии).</v>
      </c>
      <c r="H35" s="404"/>
    </row>
    <row r="36" spans="1:8" ht="33.75" customHeight="1">
      <c r="A36" s="387"/>
      <c r="B36" s="430"/>
      <c r="C36" s="387"/>
      <c r="D36" s="374">
        <f>D32+1</f>
        <v>6</v>
      </c>
      <c r="E36" s="372" t="str">
        <f>"Почтовый адрес органов управления"&amp;IF(TEMPLATE_SPHERE&lt;&gt;"TKO"," регулируемой","")&amp;" организации"&amp;IF(TEMPLATE_SPHERE="HEAT",", ЕТО, ТО","")</f>
        <v>Почтовый адрес органов управления регулируемой организации</v>
      </c>
      <c r="F36" s="375"/>
      <c r="G36" s="378" t="s">
        <v>332</v>
      </c>
      <c r="H36" s="404"/>
    </row>
    <row r="37" spans="1:8" ht="33.75" customHeight="1">
      <c r="A37" s="387"/>
      <c r="B37" s="430"/>
      <c r="C37" s="387"/>
      <c r="D37" s="374">
        <f>D36+1</f>
        <v>7</v>
      </c>
      <c r="E37" s="372" t="str">
        <f>"Адрес места нахождения органов управления"&amp;IF(TEMPLATE_SPHERE&lt;&gt;"TKO"," регулируемой","")&amp;" организации"&amp;IF(TEMPLATE_SPHERE="HEAT",", ЕТО, ТО","")</f>
        <v>Адрес места нахождения органов управления регулируемой организации</v>
      </c>
      <c r="F37" s="375"/>
      <c r="G37" s="378" t="s">
        <v>332</v>
      </c>
      <c r="H37" s="404"/>
    </row>
    <row r="38" spans="1:8" ht="22.5" customHeight="1">
      <c r="A38" s="387"/>
      <c r="B38" s="430"/>
      <c r="C38" s="387"/>
      <c r="D38" s="374">
        <f>D37+1</f>
        <v>8</v>
      </c>
      <c r="E38" s="371" t="str">
        <f>"Контактные телефоны "&amp;IF(TEMPLATE_SPHERE="TKO","","регулируемой ")&amp;"организации"&amp;IF(TEMPLATE_SPHERE="HEAT",", ЕТО, ТО",IF(TEMPLATE_SPHERE="TKO"," (индивидуального предпринимателя)",""))</f>
        <v>Контактные телефоны регулируемой организации</v>
      </c>
      <c r="F38" s="377" t="s">
        <v>298</v>
      </c>
      <c r="G38" s="2100" t="str">
        <f>"Указывается номер контактного телефона"&amp;IF(TEMPLATE_SPHERE&lt;&gt;"TKO"," регулируемой","")&amp;" организации.
В случае наличия нескольких номеров телефонов, информация по каждому из них указывается в отдельной строке."</f>
        <v>Указывается номер контактного телефона регулируемой организации.
В случае наличия нескольких номеров телефонов, информация по каждому из них указывается в отдельной строке.</v>
      </c>
      <c r="H38" s="404"/>
    </row>
    <row r="39" spans="1:8" ht="22.5" hidden="1" customHeight="1">
      <c r="A39" s="387"/>
      <c r="B39" s="430"/>
      <c r="C39" s="387"/>
      <c r="D39" s="374" t="str">
        <f>D38&amp;".0"</f>
        <v>8.0</v>
      </c>
      <c r="E39" s="1469"/>
      <c r="F39" s="777"/>
      <c r="G39" s="2101"/>
      <c r="H39" s="404"/>
    </row>
    <row r="40" spans="1:8" ht="22.5" customHeight="1">
      <c r="A40" s="387"/>
      <c r="B40" s="387"/>
      <c r="C40" s="1545"/>
      <c r="D40" s="374" t="str">
        <f>D38&amp;".1"</f>
        <v>8.1</v>
      </c>
      <c r="E40" s="761"/>
      <c r="F40" s="762"/>
      <c r="G40" s="2101"/>
      <c r="H40" s="404"/>
    </row>
    <row r="41" spans="1:8" ht="15" customHeight="1">
      <c r="A41" s="387"/>
      <c r="B41" s="430"/>
      <c r="C41" s="387"/>
      <c r="D41" s="396"/>
      <c r="E41" s="350" t="s">
        <v>333</v>
      </c>
      <c r="F41" s="398"/>
      <c r="G41" s="2102"/>
      <c r="H41" s="405"/>
    </row>
    <row r="42" spans="1:8" ht="25.5" customHeight="1">
      <c r="A42" s="387"/>
      <c r="B42" s="430"/>
      <c r="C42" s="387"/>
      <c r="D42" s="374">
        <f>D38+1</f>
        <v>9</v>
      </c>
      <c r="E42" s="372" t="str">
        <f>IF(TEMPLATE_SPHERE="TKO","Адрес официального сайта организации в сети «Интернет»","Официальный сайт регулируемой организации"&amp;IF(TEMPLATE_SPHERE="HEAT",", ЕТО, ТО","")&amp;" в сети «Интернет»")</f>
        <v>Официальный сайт регулируемой организации в сети «Интернет»</v>
      </c>
      <c r="F42" s="1643"/>
      <c r="G42" s="378" t="str">
        <f>"Указывается адрес официального сайта"&amp;IF(TEMPLATE_SPHERE&lt;&gt;"TKO"," регулируемой","")&amp;" организации"&amp;" в сети «Интернет». В случае отсутствия официального сайта"&amp;IF(TEMPLATE_SPHERE&lt;&gt;"TKO"," регулируемой","")&amp;" организации в сети «Интернет» указывается «Отсутствует»."</f>
        <v>Указывается адрес официального сайта регулируемой организации в сети «Интернет». В случае отсутствия официального сайта регулируемой организации в сети «Интернет» указывается «Отсутствует».</v>
      </c>
      <c r="H42" s="404"/>
    </row>
    <row r="43" spans="1:8" ht="22.5" customHeight="1">
      <c r="A43" s="387"/>
      <c r="B43" s="430"/>
      <c r="C43" s="387"/>
      <c r="D43" s="374">
        <f>D42+1</f>
        <v>10</v>
      </c>
      <c r="E43" s="372" t="str">
        <f>"Адрес электронной почты "&amp;IF(TEMPLATE_SPHERE="TKO","","регулируемой ")&amp;"организации"&amp;IF(TEMPLATE_SPHERE="HEAT",", ЕТО, ТО",IF(TEMPLATE_SPHERE="TKO"," (индивидуального предпринимателя)",""))</f>
        <v>Адрес электронной почты регулируемой организации</v>
      </c>
      <c r="F43" s="1644"/>
      <c r="G43" s="403" t="s">
        <v>334</v>
      </c>
      <c r="H43" s="404"/>
    </row>
    <row r="44" spans="1:8" ht="22.5" customHeight="1">
      <c r="A44" s="387"/>
      <c r="B44" s="430"/>
      <c r="C44" s="387"/>
      <c r="D44" s="374">
        <f>D43+1</f>
        <v>11</v>
      </c>
      <c r="E44" s="372" t="s">
        <v>335</v>
      </c>
      <c r="F44" s="377" t="s">
        <v>298</v>
      </c>
      <c r="G44" s="371" t="str">
        <f>IF(TEMPLATE_SPHERE="TKO","Указывается режим работы организации.","")</f>
        <v/>
      </c>
      <c r="H44" s="404"/>
    </row>
    <row r="45" spans="1:8" ht="22.5" customHeight="1">
      <c r="A45" s="387"/>
      <c r="B45" s="430"/>
      <c r="C45" s="387"/>
      <c r="D45" s="374" t="str">
        <f>D44&amp;".1"</f>
        <v>11.1</v>
      </c>
      <c r="E45" s="376" t="str">
        <f>"режим работы регулируемой организации"&amp;IF(TEMPLATE_SPHERE="HEAT",", ЕТО, ТО","")</f>
        <v>режим работы регулируемой организации</v>
      </c>
      <c r="F45" s="1541"/>
      <c r="G45" s="371" t="s">
        <v>336</v>
      </c>
      <c r="H45" s="404"/>
    </row>
    <row r="46" spans="1:8" ht="22.5" customHeight="1">
      <c r="A46" s="2089"/>
      <c r="B46" s="430"/>
      <c r="C46" s="420"/>
      <c r="D46" s="374" t="str">
        <f>D44&amp;".2"</f>
        <v>11.2</v>
      </c>
      <c r="E46" s="376" t="s">
        <v>337</v>
      </c>
      <c r="F46" s="418"/>
      <c r="G46" s="371" t="s">
        <v>338</v>
      </c>
      <c r="H46" s="404"/>
    </row>
    <row r="47" spans="1:8" ht="22.5" customHeight="1">
      <c r="A47" s="2089"/>
      <c r="B47" s="430"/>
      <c r="C47" s="420"/>
      <c r="D47" s="374" t="str">
        <f>D44&amp;".3"</f>
        <v>11.3</v>
      </c>
      <c r="E47" s="376" t="s">
        <v>339</v>
      </c>
      <c r="F47" s="418"/>
      <c r="G47" s="371" t="s">
        <v>340</v>
      </c>
      <c r="H47" s="404"/>
    </row>
    <row r="48" spans="1:8" ht="22.5" customHeight="1">
      <c r="A48" s="2089"/>
      <c r="B48" s="430"/>
      <c r="C48" s="420"/>
      <c r="D48" s="374" t="str">
        <f>IF(TEMPLATE_SPHERE="TKO",D44&amp;".0",D44&amp;".4")</f>
        <v>11.4</v>
      </c>
      <c r="E48" s="370" t="s">
        <v>341</v>
      </c>
      <c r="F48" s="1542"/>
      <c r="G48" s="1623" t="s">
        <v>342</v>
      </c>
      <c r="H48" s="404"/>
    </row>
    <row r="49" spans="1:9" ht="22.5" customHeight="1">
      <c r="A49" s="387"/>
      <c r="B49" s="430"/>
      <c r="C49" s="387"/>
      <c r="D49" s="396"/>
      <c r="E49" s="350" t="s">
        <v>343</v>
      </c>
      <c r="F49" s="397"/>
      <c r="G49" s="1623" t="s">
        <v>344</v>
      </c>
      <c r="H49" s="405"/>
    </row>
    <row r="50" spans="1:9" ht="22.5" customHeight="1">
      <c r="A50" s="759"/>
      <c r="B50" s="430"/>
      <c r="C50" s="420"/>
      <c r="D50" s="374">
        <f>D44+1</f>
        <v>12</v>
      </c>
      <c r="E50" s="456" t="s">
        <v>345</v>
      </c>
      <c r="F50" s="418"/>
      <c r="G50" s="1546" t="str">
        <f>"Указывается наличие «да» или отсутствие «нет» утвержденной в установленном порядке инвестиционной программы"&amp;IF(TEMPLATE_SPHERE="HEAT","В соответствии с пунктом 1(1) Правил согласования и утверждения инвестиционных программ организаций, осуществляющих регулируемые виды деятельности в сфере теплоснабжения, "&amp;"а также требований к составу и содержанию таких программ (за исключением таких программ, утверждаемых "&amp;"в соответствии с законодательством российской федерации об электроэнергетике), утвержденных постановлением Правительства Российской Федерации от 05.05.2014 № 410, "&amp;"в ценовых зонах теплоснабжения инвестиционная программа в отношении деятельности по подключению (технологическому присоединению) к системе теплоснабжения не разрабатывается и не утверждается.","")</f>
        <v>Указывается наличие «да» или отсутствие «нет» утвержденной в установленном порядке инвестиционной программы</v>
      </c>
      <c r="H50" s="404"/>
    </row>
    <row r="51" spans="1:9" ht="11.25" customHeight="1">
      <c r="A51" s="387"/>
      <c r="B51" s="430"/>
      <c r="C51" s="387"/>
    </row>
    <row r="52" spans="1:9" s="1645" customFormat="1" ht="30" customHeight="1">
      <c r="A52" s="1544"/>
      <c r="B52" s="431"/>
      <c r="C52" s="2090"/>
      <c r="D52" s="2094" t="str">
        <f>"В случае если регулируемая организация"&amp;IF(TEMPLATE_SPHERE="HEAT",", единая теплоснабжающая организация в ценовых зонах теплоснабжения, теплоснабжающая организация в ценовых зонах теплоснабжения и теплосетевая организация в ценовых зонах теплоснабжения","")&amp;" осуществляет несколько видов деятельности в сфере "&amp;TEMPLATE_SPHERE_RUS&amp;", информация о которых подлежит раскрытию в соответствии со Стандартами раскрытия информации в сфере "&amp;IF(TEMPLATE_SPHERE="HEAT","теплоснабжения","водоснабжения и водоотведения")&amp;", утвержденными постановлением Правительства Российской Федерации от 26.01.2023 № "&amp;IF(TEMPLATE_SPHERE="HEAT","110",IF(TEMPLATE_SPHERE="TKO","109 ""Об утверждении стандартов раскрытия информации в области обращения с твердыми коммунальными отходами""","108"))&amp;", информация по каждому виду деятельности раскрывается отдельно."</f>
        <v>В случае если регулируемая организация осуществляет несколько видов деятельности в сфере горячего водоснабжения, информация о которых подлежит раскрытию в соответствии со Стандартами раскрытия информации в сфере водоснабжения и водоотведения, утвержденными постановлением Правительства Российской Федерации от 26.01.2023 № 108, информация по каждому виду деятельности раскрывается отдельно.</v>
      </c>
      <c r="E52" s="2094"/>
      <c r="F52" s="2094"/>
      <c r="G52" s="2094"/>
      <c r="H52" s="386"/>
      <c r="I52" s="386"/>
    </row>
    <row r="53" spans="1:9" s="1645" customFormat="1" ht="39.75" customHeight="1">
      <c r="A53" s="387"/>
      <c r="B53" s="430"/>
      <c r="C53" s="2090"/>
      <c r="D53" s="2094" t="str">
        <f>IF(ORG_INFO_P_NOTE_MAIN=0,"",ORG_INFO_P_NOTE_MAIN)</f>
        <v>В случае если регулируемыми организациями оказываются услуги по горячему водоснабжению по нескольким технологически не связанным между собой централизованным системам горячего водоснабжения, и если в отношении указанных систем устанавливаются различные тарифы в сфере горячего водоснабжения, то информация раскрывается отдельно по каждой централизованной системе горячего водоснабжения.</v>
      </c>
      <c r="E53" s="2094"/>
      <c r="F53" s="2094"/>
      <c r="G53" s="2094"/>
    </row>
    <row r="54" spans="1:9" ht="11.25" customHeight="1">
      <c r="D54" s="388"/>
      <c r="E54" s="389"/>
      <c r="F54" s="389"/>
      <c r="G54" s="389"/>
    </row>
    <row r="55" spans="1:9" ht="27" customHeight="1">
      <c r="D55" s="390"/>
      <c r="E55" s="388"/>
      <c r="F55" s="399"/>
      <c r="G55" s="399"/>
    </row>
    <row r="56" spans="1:9" ht="11.25" customHeight="1">
      <c r="D56" s="388"/>
      <c r="E56" s="388"/>
      <c r="F56" s="389"/>
      <c r="G56" s="389"/>
    </row>
    <row r="57" spans="1:9" ht="39" customHeight="1">
      <c r="D57" s="391"/>
      <c r="E57" s="400"/>
      <c r="F57" s="400"/>
      <c r="G57" s="400"/>
    </row>
    <row r="58" spans="1:9" ht="27" customHeight="1">
      <c r="D58" s="391"/>
      <c r="E58" s="400"/>
      <c r="F58" s="400"/>
      <c r="G58" s="400"/>
    </row>
  </sheetData>
  <sheetProtection formatColumns="0" formatRows="0" insertRows="0" deleteColumns="0" deleteRows="0" sort="0" autoFilter="0"/>
  <mergeCells count="12">
    <mergeCell ref="D4:F4"/>
    <mergeCell ref="A46:A48"/>
    <mergeCell ref="C52:C53"/>
    <mergeCell ref="D8:F8"/>
    <mergeCell ref="A19:A23"/>
    <mergeCell ref="D52:G52"/>
    <mergeCell ref="D53:G53"/>
    <mergeCell ref="E7:F7"/>
    <mergeCell ref="G8:G9"/>
    <mergeCell ref="C19:C23"/>
    <mergeCell ref="D5:F5"/>
    <mergeCell ref="G38:G41"/>
  </mergeCells>
  <dataValidations count="3">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F21 F17"/>
    <dataValidation type="textLength" operator="lessThanOrEqual" allowBlank="1" showInputMessage="1" showErrorMessage="1" errorTitle="Ошибка" error="Допускается ввод не более 900 символов!" sqref="F13 F42:F43 F26:F31 F16 F22:F23 F18 F20 F33:F37 E39:F40">
      <formula1>900</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F50 F45:F48">
      <formula1>"a"</formula1>
    </dataValidation>
  </dataValidations>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7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8"/>
  <sheetViews>
    <sheetView showGridLines="0" workbookViewId="0"/>
  </sheetViews>
  <sheetFormatPr defaultRowHeight="11.25" customHeight="1"/>
  <cols>
    <col min="1" max="1" width="10.5703125" style="1969" customWidth="1"/>
    <col min="2" max="2" width="8.7109375" style="1969" customWidth="1"/>
    <col min="3" max="3" width="18.140625" style="1969" customWidth="1"/>
    <col min="4" max="4" width="12.5703125" style="1969" customWidth="1"/>
  </cols>
  <sheetData>
    <row r="1" spans="1:5" ht="11.25" customHeight="1">
      <c r="A1" s="665" t="s">
        <v>2171</v>
      </c>
      <c r="B1" s="1959" t="s">
        <v>2172</v>
      </c>
      <c r="C1" s="2407" t="s">
        <v>2173</v>
      </c>
      <c r="D1" s="2408"/>
      <c r="E1" s="741" t="s">
        <v>2174</v>
      </c>
    </row>
    <row r="2" spans="1:5" ht="11.25" customHeight="1">
      <c r="A2" s="1960"/>
      <c r="B2" s="675" t="s">
        <v>22</v>
      </c>
      <c r="C2" s="665"/>
      <c r="D2" s="674"/>
      <c r="E2" s="741"/>
    </row>
    <row r="3" spans="1:5" ht="11.25" customHeight="1">
      <c r="A3" s="1961"/>
      <c r="B3" s="1962" t="s">
        <v>28</v>
      </c>
      <c r="C3" s="665"/>
      <c r="D3" s="674"/>
      <c r="E3" s="741"/>
    </row>
    <row r="4" spans="1:5" ht="11.25" customHeight="1">
      <c r="A4" s="1963"/>
      <c r="B4" s="676" t="s">
        <v>718</v>
      </c>
      <c r="C4" s="665"/>
      <c r="D4" s="674"/>
      <c r="E4" s="741"/>
    </row>
    <row r="5" spans="1:5" ht="11.25" customHeight="1">
      <c r="A5" s="1964"/>
      <c r="B5" s="676" t="s">
        <v>493</v>
      </c>
      <c r="C5" s="1965" t="s">
        <v>454</v>
      </c>
      <c r="D5" s="1966" t="s">
        <v>2175</v>
      </c>
      <c r="E5" s="741"/>
    </row>
    <row r="6" spans="1:5" s="1969" customFormat="1" ht="11.25" customHeight="1">
      <c r="A6" s="1967"/>
      <c r="B6" s="676" t="s">
        <v>725</v>
      </c>
      <c r="C6" s="665"/>
      <c r="D6" s="674"/>
      <c r="E6" s="741"/>
    </row>
    <row r="7" spans="1:5" ht="11.25" customHeight="1">
      <c r="A7" s="1968"/>
      <c r="B7" s="676" t="s">
        <v>727</v>
      </c>
      <c r="C7" s="665"/>
      <c r="D7" s="674"/>
      <c r="E7" s="741"/>
    </row>
    <row r="8" spans="1:5" ht="11.25" customHeight="1">
      <c r="A8" s="667"/>
      <c r="B8" s="676" t="s">
        <v>726</v>
      </c>
      <c r="C8" s="665"/>
      <c r="D8" s="674"/>
      <c r="E8" s="741"/>
    </row>
  </sheetData>
  <sheetProtection formatColumns="0" formatRows="0" insertRows="0" deleteColumns="0" deleteRows="0" sort="0" autoFilter="0"/>
  <mergeCells count="1">
    <mergeCell ref="C1:D1"/>
  </mergeCell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7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C99"/>
  </sheetPr>
  <dimension ref="A1"/>
  <sheetViews>
    <sheetView showGridLines="0" workbookViewId="0"/>
  </sheetViews>
  <sheetFormatPr defaultRowHeight="11.25" customHeight="1"/>
  <sheetData/>
  <sheetProtection insertRows="0" deleteColumns="0" deleteRows="0" sort="0" autoFilter="0"/>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7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C99"/>
  </sheetPr>
  <dimension ref="A1"/>
  <sheetViews>
    <sheetView showGridLines="0" workbookViewId="0"/>
  </sheetViews>
  <sheetFormatPr defaultRowHeight="11.25" customHeight="1"/>
  <sheetData/>
  <sheetProtection insertRows="0" deleteColumns="0" deleteRows="0" sort="0" autoFilter="0"/>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7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C99"/>
  </sheetPr>
  <dimension ref="A1:N250"/>
  <sheetViews>
    <sheetView showGridLines="0" workbookViewId="0"/>
  </sheetViews>
  <sheetFormatPr defaultColWidth="9.140625" defaultRowHeight="11.25" customHeight="1"/>
  <cols>
    <col min="1" max="2" width="9.140625" style="1969"/>
    <col min="3" max="3" width="20.7109375" style="1969" customWidth="1"/>
    <col min="4" max="4" width="25.140625" style="1969" customWidth="1"/>
    <col min="5" max="9" width="9.140625" style="1969"/>
  </cols>
  <sheetData>
    <row r="1" spans="1:14" ht="11.25" customHeight="1">
      <c r="A1" s="9" t="s">
        <v>2176</v>
      </c>
      <c r="B1" s="9" t="s">
        <v>2177</v>
      </c>
      <c r="C1" s="9" t="s">
        <v>2178</v>
      </c>
      <c r="D1" s="9" t="s">
        <v>2179</v>
      </c>
      <c r="E1" s="9" t="s">
        <v>2180</v>
      </c>
      <c r="F1" s="9" t="s">
        <v>2181</v>
      </c>
      <c r="G1" s="9" t="s">
        <v>2182</v>
      </c>
      <c r="H1" s="9" t="s">
        <v>2183</v>
      </c>
      <c r="I1" s="9" t="s">
        <v>2184</v>
      </c>
      <c r="J1" s="4" t="s">
        <v>2185</v>
      </c>
      <c r="K1" s="4" t="s">
        <v>2186</v>
      </c>
      <c r="L1" s="4" t="s">
        <v>2187</v>
      </c>
      <c r="M1" s="4" t="s">
        <v>2188</v>
      </c>
      <c r="N1" s="4" t="s">
        <v>2189</v>
      </c>
    </row>
    <row r="2" spans="1:14" ht="11.25" customHeight="1">
      <c r="A2" s="1732" t="s">
        <v>2190</v>
      </c>
      <c r="B2" s="1732" t="s">
        <v>14</v>
      </c>
      <c r="C2" s="1732" t="s">
        <v>2191</v>
      </c>
      <c r="D2" s="1732" t="s">
        <v>2192</v>
      </c>
      <c r="E2" s="1732" t="s">
        <v>2193</v>
      </c>
      <c r="F2" s="1732" t="s">
        <v>2194</v>
      </c>
      <c r="G2" s="1732" t="s">
        <v>2195</v>
      </c>
      <c r="H2" s="1732" t="s">
        <v>17</v>
      </c>
      <c r="I2" s="1732" t="s">
        <v>2195</v>
      </c>
      <c r="J2" s="4" t="s">
        <v>17</v>
      </c>
      <c r="K2" s="4" t="s">
        <v>871</v>
      </c>
      <c r="L2" s="4" t="s">
        <v>2196</v>
      </c>
      <c r="M2" s="4" t="s">
        <v>2197</v>
      </c>
      <c r="N2" s="4" t="s">
        <v>392</v>
      </c>
    </row>
    <row r="3" spans="1:14" ht="11.25" customHeight="1">
      <c r="A3" s="1732" t="s">
        <v>2190</v>
      </c>
      <c r="B3" s="1732" t="s">
        <v>14</v>
      </c>
      <c r="C3" s="1732" t="s">
        <v>2198</v>
      </c>
      <c r="D3" s="1732" t="s">
        <v>2199</v>
      </c>
      <c r="E3" s="1732" t="s">
        <v>2200</v>
      </c>
      <c r="F3" s="1732" t="s">
        <v>50</v>
      </c>
      <c r="G3" s="1732" t="s">
        <v>2201</v>
      </c>
      <c r="H3" s="1732" t="s">
        <v>17</v>
      </c>
      <c r="I3" s="1732" t="s">
        <v>2201</v>
      </c>
      <c r="J3" s="4" t="s">
        <v>17</v>
      </c>
      <c r="K3" s="4" t="s">
        <v>803</v>
      </c>
      <c r="L3" s="4" t="s">
        <v>2202</v>
      </c>
      <c r="M3" s="4" t="s">
        <v>2203</v>
      </c>
      <c r="N3" s="4" t="s">
        <v>392</v>
      </c>
    </row>
    <row r="4" spans="1:14" ht="11.25" customHeight="1">
      <c r="A4" s="1732" t="s">
        <v>2190</v>
      </c>
      <c r="B4" s="1732" t="s">
        <v>14</v>
      </c>
      <c r="C4" s="1732" t="s">
        <v>2198</v>
      </c>
      <c r="D4" s="1732" t="s">
        <v>2199</v>
      </c>
      <c r="E4" s="1732" t="s">
        <v>2200</v>
      </c>
      <c r="F4" s="1732" t="s">
        <v>50</v>
      </c>
      <c r="G4" s="1732" t="s">
        <v>2201</v>
      </c>
      <c r="H4" s="1732" t="s">
        <v>17</v>
      </c>
      <c r="I4" s="1732" t="s">
        <v>2201</v>
      </c>
      <c r="J4" s="4" t="s">
        <v>17</v>
      </c>
      <c r="K4" s="4" t="s">
        <v>839</v>
      </c>
      <c r="L4" s="4" t="s">
        <v>2202</v>
      </c>
      <c r="M4" s="4" t="s">
        <v>2203</v>
      </c>
      <c r="N4" s="4" t="s">
        <v>392</v>
      </c>
    </row>
    <row r="5" spans="1:14" ht="11.25" customHeight="1">
      <c r="A5" s="1732" t="s">
        <v>2190</v>
      </c>
      <c r="B5" s="1732" t="s">
        <v>14</v>
      </c>
      <c r="C5" s="1732" t="s">
        <v>2198</v>
      </c>
      <c r="D5" s="1732" t="s">
        <v>2199</v>
      </c>
      <c r="E5" s="1732" t="s">
        <v>2200</v>
      </c>
      <c r="F5" s="1732" t="s">
        <v>50</v>
      </c>
      <c r="G5" s="1732" t="s">
        <v>2201</v>
      </c>
      <c r="H5" s="1732" t="s">
        <v>17</v>
      </c>
      <c r="I5" s="1732" t="s">
        <v>2204</v>
      </c>
      <c r="J5" s="4" t="s">
        <v>17</v>
      </c>
      <c r="K5" s="4" t="s">
        <v>2205</v>
      </c>
      <c r="L5" s="4" t="s">
        <v>2206</v>
      </c>
      <c r="M5" s="4" t="s">
        <v>2207</v>
      </c>
      <c r="N5" s="4" t="s">
        <v>392</v>
      </c>
    </row>
    <row r="6" spans="1:14" ht="11.25" customHeight="1">
      <c r="A6" s="1732" t="s">
        <v>2190</v>
      </c>
      <c r="B6" s="1732" t="s">
        <v>14</v>
      </c>
      <c r="C6" s="1732" t="s">
        <v>2208</v>
      </c>
      <c r="D6" s="1732" t="s">
        <v>2209</v>
      </c>
      <c r="E6" s="1732" t="s">
        <v>2210</v>
      </c>
      <c r="F6" s="1732" t="s">
        <v>2211</v>
      </c>
      <c r="G6" s="1732" t="s">
        <v>17</v>
      </c>
      <c r="H6" s="1732" t="s">
        <v>17</v>
      </c>
      <c r="I6" s="1732" t="s">
        <v>2212</v>
      </c>
      <c r="J6" s="4" t="s">
        <v>17</v>
      </c>
      <c r="K6" s="4" t="s">
        <v>871</v>
      </c>
      <c r="L6" s="4" t="s">
        <v>2196</v>
      </c>
      <c r="M6" s="4" t="s">
        <v>2197</v>
      </c>
      <c r="N6" s="4" t="s">
        <v>392</v>
      </c>
    </row>
    <row r="7" spans="1:14" ht="11.25" customHeight="1">
      <c r="A7" s="1732" t="s">
        <v>2190</v>
      </c>
      <c r="B7" s="1732" t="s">
        <v>14</v>
      </c>
      <c r="C7" s="1732" t="s">
        <v>2208</v>
      </c>
      <c r="D7" s="1732" t="s">
        <v>2209</v>
      </c>
      <c r="E7" s="1732" t="s">
        <v>2210</v>
      </c>
      <c r="F7" s="1732" t="s">
        <v>2211</v>
      </c>
      <c r="G7" s="1732" t="s">
        <v>17</v>
      </c>
      <c r="H7" s="1732" t="s">
        <v>17</v>
      </c>
      <c r="I7" s="1732" t="s">
        <v>2213</v>
      </c>
      <c r="J7" s="4" t="s">
        <v>17</v>
      </c>
      <c r="K7" s="4" t="s">
        <v>2205</v>
      </c>
      <c r="L7" s="4" t="s">
        <v>2206</v>
      </c>
      <c r="M7" s="4" t="s">
        <v>2207</v>
      </c>
      <c r="N7" s="4" t="s">
        <v>392</v>
      </c>
    </row>
    <row r="8" spans="1:14" ht="11.25" customHeight="1">
      <c r="A8" s="1732" t="s">
        <v>2190</v>
      </c>
      <c r="B8" s="1732" t="s">
        <v>14</v>
      </c>
      <c r="C8" s="1732" t="s">
        <v>2208</v>
      </c>
      <c r="D8" s="1732" t="s">
        <v>2209</v>
      </c>
      <c r="E8" s="1732" t="s">
        <v>2210</v>
      </c>
      <c r="F8" s="1732" t="s">
        <v>2211</v>
      </c>
      <c r="G8" s="1732" t="s">
        <v>17</v>
      </c>
      <c r="H8" s="1732" t="s">
        <v>17</v>
      </c>
      <c r="I8" s="1732" t="s">
        <v>2214</v>
      </c>
      <c r="J8" s="4" t="s">
        <v>17</v>
      </c>
      <c r="K8" s="4" t="s">
        <v>871</v>
      </c>
      <c r="L8" s="4" t="s">
        <v>2196</v>
      </c>
      <c r="M8" s="4" t="s">
        <v>2197</v>
      </c>
      <c r="N8" s="4" t="s">
        <v>392</v>
      </c>
    </row>
    <row r="9" spans="1:14" ht="11.25" customHeight="1">
      <c r="A9" s="1732" t="s">
        <v>2190</v>
      </c>
      <c r="B9" s="1732" t="s">
        <v>14</v>
      </c>
      <c r="C9" s="1732" t="s">
        <v>2215</v>
      </c>
      <c r="D9" s="1732" t="s">
        <v>2216</v>
      </c>
      <c r="E9" s="1732" t="s">
        <v>2217</v>
      </c>
      <c r="F9" s="1732" t="s">
        <v>2218</v>
      </c>
      <c r="G9" s="1732" t="s">
        <v>2219</v>
      </c>
      <c r="H9" s="1732" t="s">
        <v>17</v>
      </c>
      <c r="I9" s="1732" t="s">
        <v>2220</v>
      </c>
      <c r="J9" s="4" t="s">
        <v>17</v>
      </c>
      <c r="K9" s="4" t="s">
        <v>871</v>
      </c>
      <c r="L9" s="4" t="s">
        <v>2196</v>
      </c>
      <c r="M9" s="4" t="s">
        <v>2197</v>
      </c>
      <c r="N9" s="4" t="s">
        <v>392</v>
      </c>
    </row>
    <row r="10" spans="1:14" ht="11.25" customHeight="1">
      <c r="A10" s="1732" t="s">
        <v>2190</v>
      </c>
      <c r="B10" s="1732" t="s">
        <v>14</v>
      </c>
      <c r="C10" s="1732" t="s">
        <v>2221</v>
      </c>
      <c r="D10" s="1732" t="s">
        <v>2222</v>
      </c>
      <c r="E10" s="1732" t="s">
        <v>2223</v>
      </c>
      <c r="F10" s="1732" t="s">
        <v>2224</v>
      </c>
      <c r="G10" s="1732" t="s">
        <v>2225</v>
      </c>
      <c r="H10" s="1732" t="s">
        <v>17</v>
      </c>
      <c r="I10" s="1732" t="s">
        <v>2226</v>
      </c>
      <c r="J10" t="s">
        <v>17</v>
      </c>
      <c r="K10" t="s">
        <v>871</v>
      </c>
      <c r="L10" t="s">
        <v>2196</v>
      </c>
      <c r="M10" t="s">
        <v>2197</v>
      </c>
      <c r="N10" t="s">
        <v>392</v>
      </c>
    </row>
    <row r="11" spans="1:14" ht="11.25" customHeight="1">
      <c r="A11" s="1732" t="s">
        <v>2190</v>
      </c>
      <c r="B11" s="1732" t="s">
        <v>14</v>
      </c>
      <c r="C11" s="1732" t="s">
        <v>2221</v>
      </c>
      <c r="D11" s="1732" t="s">
        <v>2222</v>
      </c>
      <c r="E11" s="1732" t="s">
        <v>2223</v>
      </c>
      <c r="F11" s="1732" t="s">
        <v>2224</v>
      </c>
      <c r="G11" s="1732" t="s">
        <v>2225</v>
      </c>
      <c r="H11" s="1732" t="s">
        <v>17</v>
      </c>
      <c r="I11" s="1732" t="s">
        <v>2227</v>
      </c>
      <c r="J11" t="s">
        <v>17</v>
      </c>
      <c r="K11" t="s">
        <v>871</v>
      </c>
      <c r="L11" t="s">
        <v>2196</v>
      </c>
      <c r="M11" t="s">
        <v>2197</v>
      </c>
      <c r="N11" t="s">
        <v>392</v>
      </c>
    </row>
    <row r="12" spans="1:14" ht="11.25" customHeight="1">
      <c r="A12" s="1732" t="s">
        <v>2190</v>
      </c>
      <c r="B12" s="1732" t="s">
        <v>14</v>
      </c>
      <c r="C12" s="1732" t="s">
        <v>2228</v>
      </c>
      <c r="D12" s="1732" t="s">
        <v>2229</v>
      </c>
      <c r="E12" s="1732" t="s">
        <v>2230</v>
      </c>
      <c r="F12" s="1732" t="s">
        <v>2231</v>
      </c>
      <c r="G12" s="1732" t="s">
        <v>2232</v>
      </c>
      <c r="H12" s="1732" t="s">
        <v>17</v>
      </c>
      <c r="I12" s="1732" t="s">
        <v>2232</v>
      </c>
      <c r="J12" t="s">
        <v>17</v>
      </c>
      <c r="K12" t="s">
        <v>871</v>
      </c>
      <c r="L12" t="s">
        <v>2196</v>
      </c>
      <c r="M12" t="s">
        <v>2197</v>
      </c>
      <c r="N12" t="s">
        <v>392</v>
      </c>
    </row>
    <row r="13" spans="1:14" ht="11.25" customHeight="1">
      <c r="A13" s="1732" t="s">
        <v>2190</v>
      </c>
      <c r="B13" s="1732" t="s">
        <v>14</v>
      </c>
      <c r="C13" s="1732" t="s">
        <v>2233</v>
      </c>
      <c r="D13" s="1732" t="s">
        <v>2234</v>
      </c>
      <c r="E13" s="1732" t="s">
        <v>2235</v>
      </c>
      <c r="F13" s="1732" t="s">
        <v>2236</v>
      </c>
      <c r="G13" s="1732" t="s">
        <v>2237</v>
      </c>
      <c r="H13" s="1732" t="s">
        <v>17</v>
      </c>
      <c r="I13" s="1732" t="s">
        <v>2237</v>
      </c>
      <c r="J13" t="s">
        <v>17</v>
      </c>
      <c r="K13" t="s">
        <v>871</v>
      </c>
      <c r="L13" t="s">
        <v>2196</v>
      </c>
      <c r="M13" t="s">
        <v>2197</v>
      </c>
      <c r="N13" t="s">
        <v>392</v>
      </c>
    </row>
    <row r="14" spans="1:14" ht="11.25" customHeight="1">
      <c r="A14" s="1732" t="s">
        <v>2190</v>
      </c>
      <c r="B14" s="1732" t="s">
        <v>14</v>
      </c>
      <c r="C14" s="1732" t="s">
        <v>2233</v>
      </c>
      <c r="D14" s="1732" t="s">
        <v>2234</v>
      </c>
      <c r="E14" s="1732" t="s">
        <v>2235</v>
      </c>
      <c r="F14" s="1732" t="s">
        <v>2236</v>
      </c>
      <c r="G14" s="1732" t="s">
        <v>2237</v>
      </c>
      <c r="H14" s="1732" t="s">
        <v>17</v>
      </c>
      <c r="I14" s="1732" t="s">
        <v>2204</v>
      </c>
      <c r="J14" t="s">
        <v>17</v>
      </c>
      <c r="K14" t="s">
        <v>2205</v>
      </c>
      <c r="L14" t="s">
        <v>2206</v>
      </c>
      <c r="M14" t="s">
        <v>2207</v>
      </c>
      <c r="N14" t="s">
        <v>392</v>
      </c>
    </row>
    <row r="15" spans="1:14" ht="11.25" customHeight="1">
      <c r="A15" s="1732" t="s">
        <v>2190</v>
      </c>
      <c r="B15" s="1732" t="s">
        <v>14</v>
      </c>
      <c r="C15" s="1732" t="s">
        <v>2238</v>
      </c>
      <c r="D15" s="1732" t="s">
        <v>2239</v>
      </c>
      <c r="E15" s="1732" t="s">
        <v>2240</v>
      </c>
      <c r="F15" s="1732" t="s">
        <v>2241</v>
      </c>
      <c r="G15" s="1732" t="s">
        <v>2242</v>
      </c>
      <c r="H15" s="1732" t="s">
        <v>17</v>
      </c>
      <c r="I15" s="1732" t="s">
        <v>2243</v>
      </c>
      <c r="J15" t="s">
        <v>17</v>
      </c>
      <c r="K15" t="s">
        <v>915</v>
      </c>
      <c r="L15" t="s">
        <v>2244</v>
      </c>
      <c r="M15" t="s">
        <v>2245</v>
      </c>
      <c r="N15" t="s">
        <v>392</v>
      </c>
    </row>
    <row r="16" spans="1:14" ht="11.25" customHeight="1">
      <c r="A16" s="1732" t="s">
        <v>2190</v>
      </c>
      <c r="B16" s="1732" t="s">
        <v>14</v>
      </c>
      <c r="C16" s="1732" t="s">
        <v>2246</v>
      </c>
      <c r="D16" s="1732" t="s">
        <v>2247</v>
      </c>
      <c r="E16" s="1732" t="s">
        <v>2248</v>
      </c>
      <c r="F16" s="1732" t="s">
        <v>2231</v>
      </c>
      <c r="G16" s="1732" t="s">
        <v>2249</v>
      </c>
      <c r="H16" s="1732" t="s">
        <v>17</v>
      </c>
      <c r="I16" s="1732" t="s">
        <v>2249</v>
      </c>
      <c r="J16" t="s">
        <v>17</v>
      </c>
      <c r="K16" t="s">
        <v>896</v>
      </c>
      <c r="L16" t="s">
        <v>2250</v>
      </c>
      <c r="M16" t="s">
        <v>2251</v>
      </c>
      <c r="N16" t="s">
        <v>392</v>
      </c>
    </row>
    <row r="17" spans="1:14" ht="11.25" customHeight="1">
      <c r="A17" s="1732" t="s">
        <v>2190</v>
      </c>
      <c r="B17" s="1732" t="s">
        <v>14</v>
      </c>
      <c r="C17" s="1732" t="s">
        <v>2246</v>
      </c>
      <c r="D17" s="1732" t="s">
        <v>2247</v>
      </c>
      <c r="E17" s="1732" t="s">
        <v>2248</v>
      </c>
      <c r="F17" s="1732" t="s">
        <v>2231</v>
      </c>
      <c r="G17" s="1732" t="s">
        <v>2249</v>
      </c>
      <c r="H17" s="1732" t="s">
        <v>17</v>
      </c>
      <c r="I17" s="1732" t="s">
        <v>2252</v>
      </c>
      <c r="J17" t="s">
        <v>17</v>
      </c>
      <c r="K17" t="s">
        <v>871</v>
      </c>
      <c r="L17" t="s">
        <v>2196</v>
      </c>
      <c r="M17" t="s">
        <v>2197</v>
      </c>
      <c r="N17" t="s">
        <v>392</v>
      </c>
    </row>
    <row r="18" spans="1:14" ht="11.25" customHeight="1">
      <c r="A18" s="1732" t="s">
        <v>2190</v>
      </c>
      <c r="B18" s="1732" t="s">
        <v>14</v>
      </c>
      <c r="C18" s="1732" t="s">
        <v>2246</v>
      </c>
      <c r="D18" s="1732" t="s">
        <v>2247</v>
      </c>
      <c r="E18" s="1732" t="s">
        <v>2248</v>
      </c>
      <c r="F18" s="1732" t="s">
        <v>2231</v>
      </c>
      <c r="G18" s="1732" t="s">
        <v>2249</v>
      </c>
      <c r="H18" s="1732" t="s">
        <v>17</v>
      </c>
      <c r="I18" s="1732" t="s">
        <v>2253</v>
      </c>
      <c r="J18" t="s">
        <v>17</v>
      </c>
      <c r="K18" t="s">
        <v>871</v>
      </c>
      <c r="L18" t="s">
        <v>2196</v>
      </c>
      <c r="M18" t="s">
        <v>2197</v>
      </c>
      <c r="N18" t="s">
        <v>392</v>
      </c>
    </row>
    <row r="19" spans="1:14" ht="11.25" customHeight="1">
      <c r="A19" s="1732" t="s">
        <v>2190</v>
      </c>
      <c r="B19" s="1732" t="s">
        <v>14</v>
      </c>
      <c r="C19" s="1732" t="s">
        <v>2254</v>
      </c>
      <c r="D19" s="1732" t="s">
        <v>2255</v>
      </c>
      <c r="E19" s="1732" t="s">
        <v>2256</v>
      </c>
      <c r="F19" s="1732" t="s">
        <v>2241</v>
      </c>
      <c r="G19" s="1732" t="s">
        <v>2257</v>
      </c>
      <c r="H19" s="1732" t="s">
        <v>17</v>
      </c>
      <c r="I19" s="1732" t="s">
        <v>2257</v>
      </c>
      <c r="J19" t="s">
        <v>17</v>
      </c>
      <c r="K19" t="s">
        <v>871</v>
      </c>
      <c r="L19" t="s">
        <v>2196</v>
      </c>
      <c r="M19" t="s">
        <v>2197</v>
      </c>
      <c r="N19" t="s">
        <v>392</v>
      </c>
    </row>
    <row r="20" spans="1:14" ht="11.25" customHeight="1">
      <c r="A20" s="1732" t="s">
        <v>2190</v>
      </c>
      <c r="B20" s="1732" t="s">
        <v>14</v>
      </c>
      <c r="C20" s="1732" t="s">
        <v>2254</v>
      </c>
      <c r="D20" s="1732" t="s">
        <v>2255</v>
      </c>
      <c r="E20" s="1732" t="s">
        <v>2256</v>
      </c>
      <c r="F20" s="1732" t="s">
        <v>2241</v>
      </c>
      <c r="G20" s="1732" t="s">
        <v>2257</v>
      </c>
      <c r="H20" s="1732" t="s">
        <v>17</v>
      </c>
      <c r="I20" s="1732" t="s">
        <v>2258</v>
      </c>
      <c r="J20" t="s">
        <v>17</v>
      </c>
      <c r="K20" t="s">
        <v>871</v>
      </c>
      <c r="L20" t="s">
        <v>2196</v>
      </c>
      <c r="M20" t="s">
        <v>2197</v>
      </c>
      <c r="N20" t="s">
        <v>392</v>
      </c>
    </row>
    <row r="21" spans="1:14" ht="11.25" customHeight="1">
      <c r="A21" s="1732" t="s">
        <v>2190</v>
      </c>
      <c r="B21" s="1732" t="s">
        <v>14</v>
      </c>
      <c r="C21" s="1732" t="s">
        <v>2254</v>
      </c>
      <c r="D21" s="1732" t="s">
        <v>2255</v>
      </c>
      <c r="E21" s="1732" t="s">
        <v>2256</v>
      </c>
      <c r="F21" s="1732" t="s">
        <v>2241</v>
      </c>
      <c r="G21" s="1732" t="s">
        <v>2257</v>
      </c>
      <c r="H21" s="1732" t="s">
        <v>17</v>
      </c>
      <c r="I21" s="1732" t="s">
        <v>2259</v>
      </c>
      <c r="J21" t="s">
        <v>17</v>
      </c>
      <c r="K21" t="s">
        <v>871</v>
      </c>
      <c r="L21" t="s">
        <v>2196</v>
      </c>
      <c r="M21" t="s">
        <v>2197</v>
      </c>
      <c r="N21" t="s">
        <v>392</v>
      </c>
    </row>
    <row r="22" spans="1:14" ht="11.25" customHeight="1">
      <c r="A22" s="1732" t="s">
        <v>2190</v>
      </c>
      <c r="B22" s="1732" t="s">
        <v>14</v>
      </c>
      <c r="C22" s="1732" t="s">
        <v>2260</v>
      </c>
      <c r="D22" s="1732" t="s">
        <v>2261</v>
      </c>
      <c r="E22" s="1732" t="s">
        <v>2262</v>
      </c>
      <c r="F22" s="1732" t="s">
        <v>2263</v>
      </c>
      <c r="G22" s="1732" t="s">
        <v>2264</v>
      </c>
      <c r="H22" s="1732" t="s">
        <v>17</v>
      </c>
      <c r="I22" s="1732" t="s">
        <v>2264</v>
      </c>
      <c r="J22" t="s">
        <v>17</v>
      </c>
      <c r="K22" t="s">
        <v>871</v>
      </c>
      <c r="L22" t="s">
        <v>2196</v>
      </c>
      <c r="M22" t="s">
        <v>2197</v>
      </c>
      <c r="N22" t="s">
        <v>392</v>
      </c>
    </row>
    <row r="23" spans="1:14" ht="11.25" customHeight="1">
      <c r="A23" s="1732" t="s">
        <v>2190</v>
      </c>
      <c r="B23" s="1732" t="s">
        <v>14</v>
      </c>
      <c r="C23" s="1732" t="s">
        <v>2265</v>
      </c>
      <c r="D23" s="1732" t="s">
        <v>2266</v>
      </c>
      <c r="E23" s="1732" t="s">
        <v>2267</v>
      </c>
      <c r="F23" s="1732" t="s">
        <v>2194</v>
      </c>
      <c r="G23" s="1732" t="s">
        <v>2268</v>
      </c>
      <c r="H23" s="1732" t="s">
        <v>17</v>
      </c>
      <c r="I23" s="1732" t="s">
        <v>2269</v>
      </c>
      <c r="J23" t="s">
        <v>17</v>
      </c>
      <c r="K23" t="s">
        <v>871</v>
      </c>
      <c r="L23" t="s">
        <v>2196</v>
      </c>
      <c r="M23" t="s">
        <v>2197</v>
      </c>
      <c r="N23" t="s">
        <v>392</v>
      </c>
    </row>
    <row r="24" spans="1:14" ht="11.25" customHeight="1">
      <c r="A24" s="1732" t="s">
        <v>2190</v>
      </c>
      <c r="B24" s="1732" t="s">
        <v>14</v>
      </c>
      <c r="C24" s="1732" t="s">
        <v>2270</v>
      </c>
      <c r="D24" s="1732" t="s">
        <v>2271</v>
      </c>
      <c r="E24" s="1732" t="s">
        <v>2272</v>
      </c>
      <c r="F24" s="1732" t="s">
        <v>2273</v>
      </c>
      <c r="G24" s="1732" t="s">
        <v>2274</v>
      </c>
      <c r="H24" s="1732" t="s">
        <v>17</v>
      </c>
      <c r="I24" s="1732" t="s">
        <v>2275</v>
      </c>
      <c r="J24" t="s">
        <v>17</v>
      </c>
      <c r="K24" t="s">
        <v>871</v>
      </c>
      <c r="L24" t="s">
        <v>2196</v>
      </c>
      <c r="M24" t="s">
        <v>2197</v>
      </c>
      <c r="N24" t="s">
        <v>392</v>
      </c>
    </row>
    <row r="25" spans="1:14" ht="11.25" customHeight="1">
      <c r="A25" s="1732" t="s">
        <v>2190</v>
      </c>
      <c r="B25" s="1732" t="s">
        <v>14</v>
      </c>
      <c r="C25" s="1732" t="s">
        <v>2276</v>
      </c>
      <c r="D25" s="1732" t="s">
        <v>2277</v>
      </c>
      <c r="E25" s="1732" t="s">
        <v>2278</v>
      </c>
      <c r="F25" s="1732" t="s">
        <v>2263</v>
      </c>
      <c r="G25" s="1732" t="s">
        <v>2279</v>
      </c>
      <c r="H25" s="1732" t="s">
        <v>17</v>
      </c>
      <c r="I25" s="1732" t="s">
        <v>2279</v>
      </c>
      <c r="J25" t="s">
        <v>17</v>
      </c>
      <c r="K25" t="s">
        <v>871</v>
      </c>
      <c r="L25" t="s">
        <v>2196</v>
      </c>
      <c r="M25" t="s">
        <v>2197</v>
      </c>
      <c r="N25" t="s">
        <v>392</v>
      </c>
    </row>
    <row r="26" spans="1:14" ht="11.25" customHeight="1">
      <c r="A26" s="1732" t="s">
        <v>2190</v>
      </c>
      <c r="B26" s="1732" t="s">
        <v>14</v>
      </c>
      <c r="C26" s="1732" t="s">
        <v>2280</v>
      </c>
      <c r="D26" s="1732" t="s">
        <v>2281</v>
      </c>
      <c r="E26" s="1732" t="s">
        <v>2282</v>
      </c>
      <c r="F26" s="1732" t="s">
        <v>2194</v>
      </c>
      <c r="G26" s="1732" t="s">
        <v>2283</v>
      </c>
      <c r="H26" s="1732" t="s">
        <v>17</v>
      </c>
      <c r="I26" s="1732" t="s">
        <v>2284</v>
      </c>
      <c r="J26" t="s">
        <v>17</v>
      </c>
      <c r="K26" t="s">
        <v>871</v>
      </c>
      <c r="L26" t="s">
        <v>2196</v>
      </c>
      <c r="M26" t="s">
        <v>2197</v>
      </c>
      <c r="N26" t="s">
        <v>392</v>
      </c>
    </row>
    <row r="27" spans="1:14" ht="11.25" customHeight="1">
      <c r="A27" s="1732" t="s">
        <v>2190</v>
      </c>
      <c r="B27" s="1732" t="s">
        <v>14</v>
      </c>
      <c r="C27" s="1732" t="s">
        <v>2285</v>
      </c>
      <c r="D27" s="1732" t="s">
        <v>2286</v>
      </c>
      <c r="E27" s="1732" t="s">
        <v>2287</v>
      </c>
      <c r="F27" s="1732" t="s">
        <v>2288</v>
      </c>
      <c r="G27" s="1732" t="s">
        <v>2289</v>
      </c>
      <c r="H27" s="1732" t="s">
        <v>17</v>
      </c>
      <c r="I27" s="1732" t="s">
        <v>2289</v>
      </c>
      <c r="J27" t="s">
        <v>17</v>
      </c>
      <c r="K27" t="s">
        <v>871</v>
      </c>
      <c r="L27" t="s">
        <v>2196</v>
      </c>
      <c r="M27" t="s">
        <v>2197</v>
      </c>
      <c r="N27" t="s">
        <v>392</v>
      </c>
    </row>
    <row r="28" spans="1:14" ht="11.25" customHeight="1">
      <c r="A28" s="1732" t="s">
        <v>2190</v>
      </c>
      <c r="B28" s="1732" t="s">
        <v>14</v>
      </c>
      <c r="C28" s="1732" t="s">
        <v>2290</v>
      </c>
      <c r="D28" s="1732" t="s">
        <v>2291</v>
      </c>
      <c r="E28" s="1732" t="s">
        <v>2292</v>
      </c>
      <c r="F28" s="1732" t="s">
        <v>2231</v>
      </c>
      <c r="G28" s="1732" t="s">
        <v>17</v>
      </c>
      <c r="H28" s="1732" t="s">
        <v>17</v>
      </c>
      <c r="I28" s="1732" t="s">
        <v>2293</v>
      </c>
      <c r="J28" t="s">
        <v>17</v>
      </c>
      <c r="K28" t="s">
        <v>871</v>
      </c>
      <c r="L28" t="s">
        <v>2196</v>
      </c>
      <c r="M28" t="s">
        <v>2197</v>
      </c>
      <c r="N28" t="s">
        <v>392</v>
      </c>
    </row>
    <row r="29" spans="1:14" ht="11.25" customHeight="1">
      <c r="A29" s="1732" t="s">
        <v>2190</v>
      </c>
      <c r="B29" s="1732" t="s">
        <v>14</v>
      </c>
      <c r="C29" s="1732" t="s">
        <v>2294</v>
      </c>
      <c r="D29" s="1732" t="s">
        <v>2295</v>
      </c>
      <c r="E29" s="1732" t="s">
        <v>2296</v>
      </c>
      <c r="F29" s="1732" t="s">
        <v>2297</v>
      </c>
      <c r="G29" s="1732" t="s">
        <v>2298</v>
      </c>
      <c r="H29" s="1732" t="s">
        <v>17</v>
      </c>
      <c r="I29" s="1732" t="s">
        <v>2298</v>
      </c>
      <c r="J29" t="s">
        <v>17</v>
      </c>
      <c r="K29" t="s">
        <v>871</v>
      </c>
      <c r="L29" t="s">
        <v>2196</v>
      </c>
      <c r="M29" t="s">
        <v>2197</v>
      </c>
      <c r="N29" t="s">
        <v>392</v>
      </c>
    </row>
    <row r="30" spans="1:14" ht="11.25" customHeight="1">
      <c r="A30" s="1732" t="s">
        <v>2190</v>
      </c>
      <c r="B30" s="1732" t="s">
        <v>14</v>
      </c>
      <c r="C30" s="1732" t="s">
        <v>2294</v>
      </c>
      <c r="D30" s="1732" t="s">
        <v>2295</v>
      </c>
      <c r="E30" s="1732" t="s">
        <v>2296</v>
      </c>
      <c r="F30" s="1732" t="s">
        <v>2297</v>
      </c>
      <c r="G30" s="1732" t="s">
        <v>2298</v>
      </c>
      <c r="H30" s="1732" t="s">
        <v>17</v>
      </c>
      <c r="I30" s="1732" t="s">
        <v>2299</v>
      </c>
      <c r="J30" t="s">
        <v>17</v>
      </c>
      <c r="K30" t="s">
        <v>896</v>
      </c>
      <c r="L30" t="s">
        <v>2250</v>
      </c>
      <c r="M30" t="s">
        <v>2251</v>
      </c>
      <c r="N30" t="s">
        <v>392</v>
      </c>
    </row>
    <row r="31" spans="1:14" ht="11.25" customHeight="1">
      <c r="A31" s="1732" t="s">
        <v>2190</v>
      </c>
      <c r="B31" s="1732" t="s">
        <v>14</v>
      </c>
      <c r="C31" s="1732" t="s">
        <v>2294</v>
      </c>
      <c r="D31" s="1732" t="s">
        <v>2295</v>
      </c>
      <c r="E31" s="1732" t="s">
        <v>2296</v>
      </c>
      <c r="F31" s="1732" t="s">
        <v>2297</v>
      </c>
      <c r="G31" s="1732" t="s">
        <v>2298</v>
      </c>
      <c r="H31" s="1732" t="s">
        <v>17</v>
      </c>
      <c r="I31" s="1732" t="s">
        <v>2299</v>
      </c>
      <c r="J31" t="s">
        <v>17</v>
      </c>
      <c r="K31" t="s">
        <v>871</v>
      </c>
      <c r="L31" t="s">
        <v>2196</v>
      </c>
      <c r="M31" t="s">
        <v>2197</v>
      </c>
      <c r="N31" t="s">
        <v>392</v>
      </c>
    </row>
    <row r="32" spans="1:14" ht="11.25" customHeight="1">
      <c r="A32" s="1732" t="s">
        <v>2190</v>
      </c>
      <c r="B32" s="1732" t="s">
        <v>14</v>
      </c>
      <c r="C32" s="1732" t="s">
        <v>2300</v>
      </c>
      <c r="D32" s="1732" t="s">
        <v>2301</v>
      </c>
      <c r="E32" s="1732" t="s">
        <v>2302</v>
      </c>
      <c r="F32" s="1732" t="s">
        <v>2241</v>
      </c>
      <c r="G32" s="1732" t="s">
        <v>2303</v>
      </c>
      <c r="H32" s="1732" t="s">
        <v>17</v>
      </c>
      <c r="I32" s="1732" t="s">
        <v>2303</v>
      </c>
      <c r="J32" t="s">
        <v>17</v>
      </c>
      <c r="K32" t="s">
        <v>871</v>
      </c>
      <c r="L32" t="s">
        <v>2196</v>
      </c>
      <c r="M32" t="s">
        <v>2197</v>
      </c>
      <c r="N32" t="s">
        <v>392</v>
      </c>
    </row>
    <row r="33" spans="1:14" ht="11.25" customHeight="1">
      <c r="A33" s="1732" t="s">
        <v>2190</v>
      </c>
      <c r="B33" s="1732" t="s">
        <v>14</v>
      </c>
      <c r="C33" s="1732" t="s">
        <v>2300</v>
      </c>
      <c r="D33" s="1732" t="s">
        <v>2301</v>
      </c>
      <c r="E33" s="1732" t="s">
        <v>2302</v>
      </c>
      <c r="F33" s="1732" t="s">
        <v>2241</v>
      </c>
      <c r="G33" s="1732" t="s">
        <v>2303</v>
      </c>
      <c r="H33" s="1732" t="s">
        <v>17</v>
      </c>
      <c r="I33" s="1732" t="s">
        <v>2304</v>
      </c>
      <c r="J33" t="s">
        <v>17</v>
      </c>
      <c r="K33" t="s">
        <v>2205</v>
      </c>
      <c r="L33" t="s">
        <v>2206</v>
      </c>
      <c r="M33" t="s">
        <v>2207</v>
      </c>
      <c r="N33" t="s">
        <v>392</v>
      </c>
    </row>
    <row r="34" spans="1:14" ht="11.25" customHeight="1">
      <c r="A34" s="1732" t="s">
        <v>2190</v>
      </c>
      <c r="B34" s="1732" t="s">
        <v>14</v>
      </c>
      <c r="C34" s="1732" t="s">
        <v>2305</v>
      </c>
      <c r="D34" s="1732" t="s">
        <v>2306</v>
      </c>
      <c r="E34" s="1732" t="s">
        <v>2307</v>
      </c>
      <c r="F34" s="1732" t="s">
        <v>2241</v>
      </c>
      <c r="G34" s="1732" t="s">
        <v>17</v>
      </c>
      <c r="H34" s="1732" t="s">
        <v>17</v>
      </c>
      <c r="I34" s="1732" t="s">
        <v>2308</v>
      </c>
      <c r="J34" t="s">
        <v>17</v>
      </c>
      <c r="K34" t="s">
        <v>915</v>
      </c>
      <c r="L34" t="s">
        <v>2244</v>
      </c>
      <c r="M34" t="s">
        <v>2245</v>
      </c>
      <c r="N34" t="s">
        <v>392</v>
      </c>
    </row>
    <row r="35" spans="1:14" ht="11.25" customHeight="1">
      <c r="A35" s="1732" t="s">
        <v>2190</v>
      </c>
      <c r="B35" s="1732" t="s">
        <v>14</v>
      </c>
      <c r="C35" s="1732" t="s">
        <v>2309</v>
      </c>
      <c r="D35" s="1732" t="s">
        <v>2310</v>
      </c>
      <c r="E35" s="1732" t="s">
        <v>2311</v>
      </c>
      <c r="F35" s="1732" t="s">
        <v>2224</v>
      </c>
      <c r="G35" s="1732" t="s">
        <v>2312</v>
      </c>
      <c r="H35" s="1732" t="s">
        <v>17</v>
      </c>
      <c r="I35" s="1732" t="s">
        <v>2313</v>
      </c>
      <c r="J35" t="s">
        <v>17</v>
      </c>
      <c r="K35" t="s">
        <v>871</v>
      </c>
      <c r="L35" t="s">
        <v>2196</v>
      </c>
      <c r="M35" t="s">
        <v>2197</v>
      </c>
      <c r="N35" t="s">
        <v>392</v>
      </c>
    </row>
    <row r="36" spans="1:14" ht="11.25" customHeight="1">
      <c r="A36" s="1732" t="s">
        <v>2190</v>
      </c>
      <c r="B36" s="1732" t="s">
        <v>14</v>
      </c>
      <c r="C36" s="1732" t="s">
        <v>2314</v>
      </c>
      <c r="D36" s="1732" t="s">
        <v>45</v>
      </c>
      <c r="E36" s="1732" t="s">
        <v>48</v>
      </c>
      <c r="F36" s="1732" t="s">
        <v>50</v>
      </c>
      <c r="G36" s="1732" t="s">
        <v>2315</v>
      </c>
      <c r="H36" s="1732" t="s">
        <v>17</v>
      </c>
      <c r="I36" s="1732" t="s">
        <v>2315</v>
      </c>
      <c r="J36" t="s">
        <v>17</v>
      </c>
      <c r="K36" t="s">
        <v>896</v>
      </c>
      <c r="L36" t="s">
        <v>2250</v>
      </c>
      <c r="M36" t="s">
        <v>2251</v>
      </c>
      <c r="N36" t="s">
        <v>392</v>
      </c>
    </row>
    <row r="37" spans="1:14" ht="11.25" customHeight="1">
      <c r="A37" s="1732" t="s">
        <v>2190</v>
      </c>
      <c r="B37" s="1732" t="s">
        <v>14</v>
      </c>
      <c r="C37" s="1732" t="s">
        <v>2314</v>
      </c>
      <c r="D37" s="1732" t="s">
        <v>45</v>
      </c>
      <c r="E37" s="1732" t="s">
        <v>48</v>
      </c>
      <c r="F37" s="1732" t="s">
        <v>50</v>
      </c>
      <c r="G37" s="1732" t="s">
        <v>2315</v>
      </c>
      <c r="H37" s="1732" t="s">
        <v>17</v>
      </c>
      <c r="I37" s="1732" t="s">
        <v>2204</v>
      </c>
      <c r="J37" t="s">
        <v>17</v>
      </c>
      <c r="K37" t="s">
        <v>2205</v>
      </c>
      <c r="L37" t="s">
        <v>2206</v>
      </c>
      <c r="M37" t="s">
        <v>2207</v>
      </c>
      <c r="N37" t="s">
        <v>392</v>
      </c>
    </row>
    <row r="38" spans="1:14" ht="11.25" customHeight="1">
      <c r="A38" s="1732" t="s">
        <v>2190</v>
      </c>
      <c r="B38" s="1732" t="s">
        <v>14</v>
      </c>
      <c r="C38" s="1732" t="s">
        <v>2316</v>
      </c>
      <c r="D38" s="1732" t="s">
        <v>2317</v>
      </c>
      <c r="E38" s="1732" t="s">
        <v>2318</v>
      </c>
      <c r="F38" s="1732" t="s">
        <v>2224</v>
      </c>
      <c r="G38" s="1732" t="s">
        <v>2319</v>
      </c>
      <c r="H38" s="1732" t="s">
        <v>17</v>
      </c>
      <c r="I38" s="1732" t="s">
        <v>2204</v>
      </c>
      <c r="J38" t="s">
        <v>17</v>
      </c>
      <c r="K38" t="s">
        <v>2320</v>
      </c>
      <c r="L38" t="s">
        <v>2321</v>
      </c>
      <c r="M38" t="s">
        <v>2322</v>
      </c>
      <c r="N38" t="s">
        <v>392</v>
      </c>
    </row>
    <row r="39" spans="1:14" ht="11.25" customHeight="1">
      <c r="A39" s="1732" t="s">
        <v>2190</v>
      </c>
      <c r="B39" s="1732" t="s">
        <v>14</v>
      </c>
      <c r="C39" s="1732" t="s">
        <v>2316</v>
      </c>
      <c r="D39" s="1732" t="s">
        <v>2317</v>
      </c>
      <c r="E39" s="1732" t="s">
        <v>2318</v>
      </c>
      <c r="F39" s="1732" t="s">
        <v>2224</v>
      </c>
      <c r="G39" s="1732" t="s">
        <v>2319</v>
      </c>
      <c r="H39" s="1732" t="s">
        <v>17</v>
      </c>
      <c r="I39" s="1732" t="s">
        <v>2323</v>
      </c>
      <c r="J39" t="s">
        <v>17</v>
      </c>
      <c r="K39" t="s">
        <v>775</v>
      </c>
      <c r="L39" t="s">
        <v>2321</v>
      </c>
      <c r="M39" t="s">
        <v>2324</v>
      </c>
      <c r="N39" t="s">
        <v>392</v>
      </c>
    </row>
    <row r="40" spans="1:14" ht="11.25" customHeight="1">
      <c r="A40" s="1732" t="s">
        <v>2190</v>
      </c>
      <c r="B40" s="1732" t="s">
        <v>14</v>
      </c>
      <c r="C40" s="1732" t="s">
        <v>2316</v>
      </c>
      <c r="D40" s="1732" t="s">
        <v>2317</v>
      </c>
      <c r="E40" s="1732" t="s">
        <v>2318</v>
      </c>
      <c r="F40" s="1732" t="s">
        <v>2224</v>
      </c>
      <c r="G40" s="1732" t="s">
        <v>2319</v>
      </c>
      <c r="H40" s="1732" t="s">
        <v>17</v>
      </c>
      <c r="I40" s="1732" t="s">
        <v>2325</v>
      </c>
      <c r="J40" t="s">
        <v>17</v>
      </c>
      <c r="K40" t="s">
        <v>931</v>
      </c>
      <c r="L40" t="s">
        <v>2326</v>
      </c>
      <c r="M40" t="s">
        <v>2327</v>
      </c>
      <c r="N40" t="s">
        <v>392</v>
      </c>
    </row>
    <row r="41" spans="1:14" ht="11.25" customHeight="1">
      <c r="A41" s="1732" t="s">
        <v>2190</v>
      </c>
      <c r="B41" s="1732" t="s">
        <v>14</v>
      </c>
      <c r="C41" s="1732" t="s">
        <v>2316</v>
      </c>
      <c r="D41" s="1732" t="s">
        <v>2317</v>
      </c>
      <c r="E41" s="1732" t="s">
        <v>2318</v>
      </c>
      <c r="F41" s="1732" t="s">
        <v>2224</v>
      </c>
      <c r="G41" s="1732" t="s">
        <v>2319</v>
      </c>
      <c r="H41" s="1732" t="s">
        <v>17</v>
      </c>
      <c r="I41" s="1732" t="s">
        <v>2325</v>
      </c>
      <c r="J41" t="s">
        <v>17</v>
      </c>
      <c r="K41" t="s">
        <v>2328</v>
      </c>
      <c r="L41" t="s">
        <v>2329</v>
      </c>
      <c r="M41" t="s">
        <v>2330</v>
      </c>
      <c r="N41" t="s">
        <v>392</v>
      </c>
    </row>
    <row r="42" spans="1:14" ht="11.25" customHeight="1">
      <c r="A42" s="1732" t="s">
        <v>2190</v>
      </c>
      <c r="B42" s="1732" t="s">
        <v>14</v>
      </c>
      <c r="C42" s="1732" t="s">
        <v>2331</v>
      </c>
      <c r="D42" s="1732" t="s">
        <v>2332</v>
      </c>
      <c r="E42" s="1732" t="s">
        <v>2333</v>
      </c>
      <c r="F42" s="1732" t="s">
        <v>2334</v>
      </c>
      <c r="G42" s="1732" t="s">
        <v>2335</v>
      </c>
      <c r="H42" s="1732" t="s">
        <v>17</v>
      </c>
      <c r="I42" s="1732" t="s">
        <v>2335</v>
      </c>
      <c r="J42" t="s">
        <v>17</v>
      </c>
      <c r="K42" t="s">
        <v>839</v>
      </c>
      <c r="L42" t="s">
        <v>2336</v>
      </c>
      <c r="M42" t="s">
        <v>2337</v>
      </c>
      <c r="N42" t="s">
        <v>392</v>
      </c>
    </row>
    <row r="43" spans="1:14" ht="11.25" customHeight="1">
      <c r="A43" s="1732" t="s">
        <v>2190</v>
      </c>
      <c r="B43" s="1732" t="s">
        <v>14</v>
      </c>
      <c r="C43" s="1732" t="s">
        <v>2331</v>
      </c>
      <c r="D43" s="1732" t="s">
        <v>2332</v>
      </c>
      <c r="E43" s="1732" t="s">
        <v>2333</v>
      </c>
      <c r="F43" s="1732" t="s">
        <v>2334</v>
      </c>
      <c r="G43" s="1732" t="s">
        <v>2335</v>
      </c>
      <c r="H43" s="1732" t="s">
        <v>17</v>
      </c>
      <c r="I43" s="1732" t="s">
        <v>2204</v>
      </c>
      <c r="J43" t="s">
        <v>17</v>
      </c>
      <c r="K43" t="s">
        <v>2328</v>
      </c>
      <c r="L43" t="s">
        <v>2329</v>
      </c>
      <c r="M43" t="s">
        <v>2330</v>
      </c>
      <c r="N43" t="s">
        <v>392</v>
      </c>
    </row>
    <row r="44" spans="1:14" ht="11.25" customHeight="1">
      <c r="A44" s="1732" t="s">
        <v>2190</v>
      </c>
      <c r="B44" s="1732" t="s">
        <v>14</v>
      </c>
      <c r="C44" s="1732" t="s">
        <v>2331</v>
      </c>
      <c r="D44" s="1732" t="s">
        <v>2332</v>
      </c>
      <c r="E44" s="1732" t="s">
        <v>2333</v>
      </c>
      <c r="F44" s="1732" t="s">
        <v>2334</v>
      </c>
      <c r="G44" s="1732" t="s">
        <v>2335</v>
      </c>
      <c r="H44" s="1732" t="s">
        <v>17</v>
      </c>
      <c r="I44" s="1732" t="s">
        <v>2338</v>
      </c>
      <c r="J44" t="s">
        <v>17</v>
      </c>
      <c r="K44" t="s">
        <v>915</v>
      </c>
      <c r="L44" t="s">
        <v>2244</v>
      </c>
      <c r="M44" t="s">
        <v>2245</v>
      </c>
      <c r="N44" t="s">
        <v>392</v>
      </c>
    </row>
    <row r="45" spans="1:14" ht="11.25" customHeight="1">
      <c r="A45" s="1732" t="s">
        <v>2190</v>
      </c>
      <c r="B45" s="1732" t="s">
        <v>14</v>
      </c>
      <c r="C45" s="1732" t="s">
        <v>2331</v>
      </c>
      <c r="D45" s="1732" t="s">
        <v>2332</v>
      </c>
      <c r="E45" s="1732" t="s">
        <v>2333</v>
      </c>
      <c r="F45" s="1732" t="s">
        <v>2334</v>
      </c>
      <c r="G45" s="1732" t="s">
        <v>2335</v>
      </c>
      <c r="H45" s="1732" t="s">
        <v>17</v>
      </c>
      <c r="I45" s="1732" t="s">
        <v>2339</v>
      </c>
      <c r="J45" t="s">
        <v>17</v>
      </c>
      <c r="K45" t="s">
        <v>803</v>
      </c>
      <c r="L45" t="s">
        <v>803</v>
      </c>
      <c r="M45" t="s">
        <v>2340</v>
      </c>
      <c r="N45" t="s">
        <v>392</v>
      </c>
    </row>
    <row r="46" spans="1:14" ht="11.25" customHeight="1">
      <c r="A46" s="1732" t="s">
        <v>2190</v>
      </c>
      <c r="B46" s="1732" t="s">
        <v>14</v>
      </c>
      <c r="C46" s="1732" t="s">
        <v>2331</v>
      </c>
      <c r="D46" s="1732" t="s">
        <v>2332</v>
      </c>
      <c r="E46" s="1732" t="s">
        <v>2333</v>
      </c>
      <c r="F46" s="1732" t="s">
        <v>2334</v>
      </c>
      <c r="G46" s="1732" t="s">
        <v>2335</v>
      </c>
      <c r="H46" s="1732" t="s">
        <v>17</v>
      </c>
      <c r="I46" s="1732" t="s">
        <v>2339</v>
      </c>
      <c r="J46" t="s">
        <v>17</v>
      </c>
      <c r="K46" t="s">
        <v>2341</v>
      </c>
      <c r="L46" t="s">
        <v>803</v>
      </c>
      <c r="M46" t="s">
        <v>2342</v>
      </c>
      <c r="N46" t="s">
        <v>392</v>
      </c>
    </row>
    <row r="47" spans="1:14" ht="11.25" customHeight="1">
      <c r="A47" s="1732" t="s">
        <v>2190</v>
      </c>
      <c r="B47" s="1732" t="s">
        <v>14</v>
      </c>
      <c r="C47" s="1732" t="s">
        <v>2343</v>
      </c>
      <c r="D47" s="1732" t="s">
        <v>2344</v>
      </c>
      <c r="E47" s="1732" t="s">
        <v>2345</v>
      </c>
      <c r="F47" s="1732" t="s">
        <v>2346</v>
      </c>
      <c r="G47" s="1732" t="s">
        <v>2347</v>
      </c>
      <c r="H47" s="1732" t="s">
        <v>17</v>
      </c>
      <c r="I47" s="1732" t="s">
        <v>2227</v>
      </c>
      <c r="J47" t="s">
        <v>17</v>
      </c>
      <c r="K47" t="s">
        <v>871</v>
      </c>
      <c r="L47" t="s">
        <v>2196</v>
      </c>
      <c r="M47" t="s">
        <v>2197</v>
      </c>
      <c r="N47" t="s">
        <v>392</v>
      </c>
    </row>
    <row r="48" spans="1:14" ht="11.25" customHeight="1">
      <c r="A48" s="1732" t="s">
        <v>2190</v>
      </c>
      <c r="B48" s="1732" t="s">
        <v>14</v>
      </c>
      <c r="C48" s="1732" t="s">
        <v>2348</v>
      </c>
      <c r="D48" s="1732" t="s">
        <v>2349</v>
      </c>
      <c r="E48" s="1732" t="s">
        <v>2350</v>
      </c>
      <c r="F48" s="1732" t="s">
        <v>2351</v>
      </c>
      <c r="G48" s="1732" t="s">
        <v>17</v>
      </c>
      <c r="H48" s="1732" t="s">
        <v>17</v>
      </c>
      <c r="I48" s="1732" t="s">
        <v>2352</v>
      </c>
      <c r="J48" t="s">
        <v>17</v>
      </c>
      <c r="K48" t="s">
        <v>871</v>
      </c>
      <c r="L48" t="s">
        <v>2196</v>
      </c>
      <c r="M48" t="s">
        <v>2197</v>
      </c>
      <c r="N48" t="s">
        <v>392</v>
      </c>
    </row>
    <row r="49" spans="1:14" ht="11.25" customHeight="1">
      <c r="A49" s="1732" t="s">
        <v>2190</v>
      </c>
      <c r="B49" s="1732" t="s">
        <v>14</v>
      </c>
      <c r="C49" s="1732" t="s">
        <v>2348</v>
      </c>
      <c r="D49" s="1732" t="s">
        <v>2349</v>
      </c>
      <c r="E49" s="1732" t="s">
        <v>2350</v>
      </c>
      <c r="F49" s="1732" t="s">
        <v>2351</v>
      </c>
      <c r="G49" s="1732" t="s">
        <v>17</v>
      </c>
      <c r="H49" s="1732" t="s">
        <v>17</v>
      </c>
      <c r="I49" s="1732" t="s">
        <v>2204</v>
      </c>
      <c r="J49" t="s">
        <v>17</v>
      </c>
      <c r="K49" t="s">
        <v>2205</v>
      </c>
      <c r="L49" t="s">
        <v>2206</v>
      </c>
      <c r="M49" t="s">
        <v>2207</v>
      </c>
      <c r="N49" t="s">
        <v>392</v>
      </c>
    </row>
    <row r="50" spans="1:14" ht="11.25" customHeight="1">
      <c r="A50" s="1732" t="s">
        <v>2190</v>
      </c>
      <c r="B50" s="1732" t="s">
        <v>14</v>
      </c>
      <c r="C50" s="1732" t="s">
        <v>2353</v>
      </c>
      <c r="D50" s="1732" t="s">
        <v>2354</v>
      </c>
      <c r="E50" s="1732" t="s">
        <v>2355</v>
      </c>
      <c r="F50" s="1732" t="s">
        <v>2356</v>
      </c>
      <c r="G50" s="1732" t="s">
        <v>2357</v>
      </c>
      <c r="H50" s="1732" t="s">
        <v>17</v>
      </c>
      <c r="I50" s="1732" t="s">
        <v>2358</v>
      </c>
      <c r="J50" t="s">
        <v>17</v>
      </c>
      <c r="K50" t="s">
        <v>896</v>
      </c>
      <c r="L50" t="s">
        <v>2250</v>
      </c>
      <c r="M50" t="s">
        <v>2251</v>
      </c>
      <c r="N50" t="s">
        <v>392</v>
      </c>
    </row>
    <row r="51" spans="1:14" ht="11.25" customHeight="1">
      <c r="A51" s="1732" t="s">
        <v>2190</v>
      </c>
      <c r="B51" s="1732" t="s">
        <v>14</v>
      </c>
      <c r="C51" s="1732" t="s">
        <v>2359</v>
      </c>
      <c r="D51" s="1732" t="s">
        <v>2360</v>
      </c>
      <c r="E51" s="1732" t="s">
        <v>2361</v>
      </c>
      <c r="F51" s="1732" t="s">
        <v>2194</v>
      </c>
      <c r="G51" s="1732" t="s">
        <v>2362</v>
      </c>
      <c r="H51" s="1732" t="s">
        <v>17</v>
      </c>
      <c r="I51" s="1732" t="s">
        <v>2220</v>
      </c>
      <c r="J51" t="s">
        <v>17</v>
      </c>
      <c r="K51" t="s">
        <v>775</v>
      </c>
      <c r="L51" t="s">
        <v>2363</v>
      </c>
      <c r="M51" t="s">
        <v>2364</v>
      </c>
      <c r="N51" t="s">
        <v>392</v>
      </c>
    </row>
    <row r="52" spans="1:14" ht="11.25" customHeight="1">
      <c r="A52" s="1732" t="s">
        <v>2190</v>
      </c>
      <c r="B52" s="1732" t="s">
        <v>14</v>
      </c>
      <c r="C52" s="1732" t="s">
        <v>2359</v>
      </c>
      <c r="D52" s="1732" t="s">
        <v>2360</v>
      </c>
      <c r="E52" s="1732" t="s">
        <v>2361</v>
      </c>
      <c r="F52" s="1732" t="s">
        <v>2194</v>
      </c>
      <c r="G52" s="1732" t="s">
        <v>2362</v>
      </c>
      <c r="H52" s="1732" t="s">
        <v>17</v>
      </c>
      <c r="I52" s="1732" t="s">
        <v>2220</v>
      </c>
      <c r="J52" t="s">
        <v>17</v>
      </c>
      <c r="K52" t="s">
        <v>839</v>
      </c>
      <c r="L52" t="s">
        <v>2363</v>
      </c>
      <c r="M52" t="s">
        <v>2364</v>
      </c>
      <c r="N52" t="s">
        <v>392</v>
      </c>
    </row>
    <row r="53" spans="1:14" ht="11.25" customHeight="1">
      <c r="A53" s="1732" t="s">
        <v>2190</v>
      </c>
      <c r="B53" s="1732" t="s">
        <v>14</v>
      </c>
      <c r="C53" s="1732" t="s">
        <v>2365</v>
      </c>
      <c r="D53" s="1732" t="s">
        <v>2366</v>
      </c>
      <c r="E53" s="1732" t="s">
        <v>2367</v>
      </c>
      <c r="F53" s="1732" t="s">
        <v>2273</v>
      </c>
      <c r="G53" s="1732" t="s">
        <v>17</v>
      </c>
      <c r="H53" s="1732" t="s">
        <v>17</v>
      </c>
      <c r="I53" s="1732" t="s">
        <v>2368</v>
      </c>
      <c r="J53" t="s">
        <v>17</v>
      </c>
      <c r="K53" t="s">
        <v>871</v>
      </c>
      <c r="L53" t="s">
        <v>2196</v>
      </c>
      <c r="M53" t="s">
        <v>2197</v>
      </c>
      <c r="N53" t="s">
        <v>392</v>
      </c>
    </row>
    <row r="54" spans="1:14" ht="11.25" customHeight="1">
      <c r="A54" s="1732" t="s">
        <v>2190</v>
      </c>
      <c r="B54" s="1732" t="s">
        <v>14</v>
      </c>
      <c r="C54" s="1732" t="s">
        <v>2365</v>
      </c>
      <c r="D54" s="1732" t="s">
        <v>2366</v>
      </c>
      <c r="E54" s="1732" t="s">
        <v>2367</v>
      </c>
      <c r="F54" s="1732" t="s">
        <v>2273</v>
      </c>
      <c r="G54" s="1732" t="s">
        <v>17</v>
      </c>
      <c r="H54" s="1732" t="s">
        <v>17</v>
      </c>
      <c r="I54" s="1732" t="s">
        <v>2369</v>
      </c>
      <c r="J54" t="s">
        <v>17</v>
      </c>
      <c r="K54" t="s">
        <v>871</v>
      </c>
      <c r="L54" t="s">
        <v>2196</v>
      </c>
      <c r="M54" t="s">
        <v>2197</v>
      </c>
      <c r="N54" t="s">
        <v>392</v>
      </c>
    </row>
    <row r="55" spans="1:14" ht="11.25" customHeight="1">
      <c r="A55" s="1732" t="s">
        <v>2190</v>
      </c>
      <c r="B55" s="1732" t="s">
        <v>14</v>
      </c>
      <c r="C55" s="1732" t="s">
        <v>2370</v>
      </c>
      <c r="D55" s="1732" t="s">
        <v>2371</v>
      </c>
      <c r="E55" s="1732" t="s">
        <v>2372</v>
      </c>
      <c r="F55" s="1732" t="s">
        <v>2373</v>
      </c>
      <c r="G55" s="1732" t="s">
        <v>2374</v>
      </c>
      <c r="H55" s="1732" t="s">
        <v>17</v>
      </c>
      <c r="I55" s="1732" t="s">
        <v>2220</v>
      </c>
      <c r="J55" t="s">
        <v>17</v>
      </c>
      <c r="K55" t="s">
        <v>871</v>
      </c>
      <c r="L55" t="s">
        <v>2196</v>
      </c>
      <c r="M55" t="s">
        <v>2197</v>
      </c>
      <c r="N55" t="s">
        <v>392</v>
      </c>
    </row>
    <row r="56" spans="1:14" ht="11.25" customHeight="1">
      <c r="A56" s="1732" t="s">
        <v>2190</v>
      </c>
      <c r="B56" s="1732" t="s">
        <v>14</v>
      </c>
      <c r="C56" s="1732" t="s">
        <v>2370</v>
      </c>
      <c r="D56" s="1732" t="s">
        <v>2371</v>
      </c>
      <c r="E56" s="1732" t="s">
        <v>2372</v>
      </c>
      <c r="F56" s="1732" t="s">
        <v>2373</v>
      </c>
      <c r="G56" s="1732" t="s">
        <v>2374</v>
      </c>
      <c r="H56" s="1732" t="s">
        <v>17</v>
      </c>
      <c r="I56" s="1732" t="s">
        <v>2375</v>
      </c>
      <c r="J56" t="s">
        <v>17</v>
      </c>
      <c r="K56" t="s">
        <v>871</v>
      </c>
      <c r="L56" t="s">
        <v>2196</v>
      </c>
      <c r="M56" t="s">
        <v>2197</v>
      </c>
      <c r="N56" t="s">
        <v>392</v>
      </c>
    </row>
    <row r="57" spans="1:14" ht="11.25" customHeight="1">
      <c r="A57" s="1732" t="s">
        <v>2190</v>
      </c>
      <c r="B57" s="1732" t="s">
        <v>14</v>
      </c>
      <c r="C57" s="1732" t="s">
        <v>2376</v>
      </c>
      <c r="D57" s="1732" t="s">
        <v>2377</v>
      </c>
      <c r="E57" s="1732" t="s">
        <v>2378</v>
      </c>
      <c r="F57" s="1732" t="s">
        <v>2379</v>
      </c>
      <c r="G57" s="1732" t="s">
        <v>2380</v>
      </c>
      <c r="H57" s="1732" t="s">
        <v>17</v>
      </c>
      <c r="I57" s="1732" t="s">
        <v>2214</v>
      </c>
      <c r="J57" t="s">
        <v>17</v>
      </c>
      <c r="K57" t="s">
        <v>871</v>
      </c>
      <c r="L57" t="s">
        <v>2196</v>
      </c>
      <c r="M57" t="s">
        <v>2197</v>
      </c>
      <c r="N57" t="s">
        <v>392</v>
      </c>
    </row>
    <row r="58" spans="1:14" ht="11.25" customHeight="1">
      <c r="A58" s="1732" t="s">
        <v>2190</v>
      </c>
      <c r="B58" s="1732" t="s">
        <v>14</v>
      </c>
      <c r="C58" s="1732" t="s">
        <v>2376</v>
      </c>
      <c r="D58" s="1732" t="s">
        <v>2377</v>
      </c>
      <c r="E58" s="1732" t="s">
        <v>2378</v>
      </c>
      <c r="F58" s="1732" t="s">
        <v>2379</v>
      </c>
      <c r="G58" s="1732" t="s">
        <v>2380</v>
      </c>
      <c r="H58" s="1732" t="s">
        <v>17</v>
      </c>
      <c r="I58" s="1732" t="s">
        <v>2214</v>
      </c>
      <c r="J58" t="s">
        <v>17</v>
      </c>
      <c r="K58" t="s">
        <v>803</v>
      </c>
      <c r="L58" t="s">
        <v>803</v>
      </c>
      <c r="M58" t="s">
        <v>2340</v>
      </c>
      <c r="N58" t="s">
        <v>392</v>
      </c>
    </row>
    <row r="59" spans="1:14" ht="11.25" customHeight="1">
      <c r="A59" s="1732" t="s">
        <v>2190</v>
      </c>
      <c r="B59" s="1732" t="s">
        <v>14</v>
      </c>
      <c r="C59" s="1732" t="s">
        <v>2191</v>
      </c>
      <c r="D59" s="1732" t="s">
        <v>2192</v>
      </c>
      <c r="E59" s="1732" t="s">
        <v>2193</v>
      </c>
      <c r="F59" s="1732" t="s">
        <v>2194</v>
      </c>
      <c r="G59" s="1732" t="s">
        <v>2195</v>
      </c>
      <c r="H59" s="1732" t="s">
        <v>17</v>
      </c>
      <c r="I59" s="1732" t="s">
        <v>2195</v>
      </c>
      <c r="J59" t="s">
        <v>17</v>
      </c>
      <c r="K59" t="s">
        <v>2381</v>
      </c>
      <c r="L59" t="s">
        <v>2382</v>
      </c>
      <c r="M59" t="s">
        <v>2383</v>
      </c>
      <c r="N59" t="s">
        <v>395</v>
      </c>
    </row>
    <row r="60" spans="1:14" ht="11.25" customHeight="1">
      <c r="A60" s="1732" t="s">
        <v>2190</v>
      </c>
      <c r="B60" s="1732" t="s">
        <v>14</v>
      </c>
      <c r="C60" s="1732" t="s">
        <v>2198</v>
      </c>
      <c r="D60" s="1732" t="s">
        <v>2199</v>
      </c>
      <c r="E60" s="1732" t="s">
        <v>2200</v>
      </c>
      <c r="F60" s="1732" t="s">
        <v>50</v>
      </c>
      <c r="G60" s="1732" t="s">
        <v>2201</v>
      </c>
      <c r="H60" s="1732" t="s">
        <v>17</v>
      </c>
      <c r="I60" s="1732" t="s">
        <v>2201</v>
      </c>
      <c r="J60" t="s">
        <v>17</v>
      </c>
      <c r="K60" t="s">
        <v>2384</v>
      </c>
      <c r="L60" t="s">
        <v>2385</v>
      </c>
      <c r="M60" t="s">
        <v>2386</v>
      </c>
      <c r="N60" t="s">
        <v>395</v>
      </c>
    </row>
    <row r="61" spans="1:14" ht="11.25" customHeight="1">
      <c r="A61" s="1732" t="s">
        <v>2190</v>
      </c>
      <c r="B61" s="1732" t="s">
        <v>14</v>
      </c>
      <c r="C61" s="1732" t="s">
        <v>2208</v>
      </c>
      <c r="D61" s="1732" t="s">
        <v>2209</v>
      </c>
      <c r="E61" s="1732" t="s">
        <v>2210</v>
      </c>
      <c r="F61" s="1732" t="s">
        <v>2211</v>
      </c>
      <c r="G61" s="1732" t="s">
        <v>17</v>
      </c>
      <c r="H61" s="1732" t="s">
        <v>17</v>
      </c>
      <c r="I61" s="1732" t="s">
        <v>2319</v>
      </c>
      <c r="J61" t="s">
        <v>17</v>
      </c>
      <c r="K61" t="s">
        <v>2381</v>
      </c>
      <c r="L61" t="s">
        <v>2382</v>
      </c>
      <c r="M61" t="s">
        <v>2383</v>
      </c>
      <c r="N61" t="s">
        <v>395</v>
      </c>
    </row>
    <row r="62" spans="1:14" ht="11.25" customHeight="1">
      <c r="A62" s="1732" t="s">
        <v>2190</v>
      </c>
      <c r="B62" s="1732" t="s">
        <v>14</v>
      </c>
      <c r="C62" s="1732" t="s">
        <v>2221</v>
      </c>
      <c r="D62" s="1732" t="s">
        <v>2222</v>
      </c>
      <c r="E62" s="1732" t="s">
        <v>2223</v>
      </c>
      <c r="F62" s="1732" t="s">
        <v>2224</v>
      </c>
      <c r="G62" s="1732" t="s">
        <v>2225</v>
      </c>
      <c r="H62" s="1732" t="s">
        <v>17</v>
      </c>
      <c r="I62" s="1732" t="s">
        <v>2369</v>
      </c>
      <c r="J62" t="s">
        <v>17</v>
      </c>
      <c r="K62" t="s">
        <v>2381</v>
      </c>
      <c r="L62" t="s">
        <v>2382</v>
      </c>
      <c r="M62" t="s">
        <v>2383</v>
      </c>
      <c r="N62" t="s">
        <v>395</v>
      </c>
    </row>
    <row r="63" spans="1:14" ht="11.25" customHeight="1">
      <c r="A63" s="1732" t="s">
        <v>2190</v>
      </c>
      <c r="B63" s="1732" t="s">
        <v>14</v>
      </c>
      <c r="C63" s="1732" t="s">
        <v>2233</v>
      </c>
      <c r="D63" s="1732" t="s">
        <v>2234</v>
      </c>
      <c r="E63" s="1732" t="s">
        <v>2235</v>
      </c>
      <c r="F63" s="1732" t="s">
        <v>2236</v>
      </c>
      <c r="G63" s="1732" t="s">
        <v>2237</v>
      </c>
      <c r="H63" s="1732" t="s">
        <v>17</v>
      </c>
      <c r="I63" s="1732" t="s">
        <v>2237</v>
      </c>
      <c r="J63" t="s">
        <v>17</v>
      </c>
      <c r="K63" t="s">
        <v>2381</v>
      </c>
      <c r="L63" t="s">
        <v>2382</v>
      </c>
      <c r="M63" t="s">
        <v>2383</v>
      </c>
      <c r="N63" t="s">
        <v>395</v>
      </c>
    </row>
    <row r="64" spans="1:14" ht="11.25" customHeight="1">
      <c r="A64" s="1732" t="s">
        <v>2190</v>
      </c>
      <c r="B64" s="1732" t="s">
        <v>14</v>
      </c>
      <c r="C64" s="1732" t="s">
        <v>2238</v>
      </c>
      <c r="D64" s="1732" t="s">
        <v>2239</v>
      </c>
      <c r="E64" s="1732" t="s">
        <v>2240</v>
      </c>
      <c r="F64" s="1732" t="s">
        <v>2241</v>
      </c>
      <c r="G64" s="1732" t="s">
        <v>2242</v>
      </c>
      <c r="H64" s="1732" t="s">
        <v>17</v>
      </c>
      <c r="I64" s="1732" t="s">
        <v>2243</v>
      </c>
      <c r="J64" t="s">
        <v>17</v>
      </c>
      <c r="K64" t="s">
        <v>2381</v>
      </c>
      <c r="L64" t="s">
        <v>2382</v>
      </c>
      <c r="M64" t="s">
        <v>2383</v>
      </c>
      <c r="N64" t="s">
        <v>395</v>
      </c>
    </row>
    <row r="65" spans="1:14" ht="11.25" customHeight="1">
      <c r="A65" s="1732" t="s">
        <v>2190</v>
      </c>
      <c r="B65" s="1732" t="s">
        <v>14</v>
      </c>
      <c r="C65" s="1732" t="s">
        <v>2280</v>
      </c>
      <c r="D65" s="1732" t="s">
        <v>2281</v>
      </c>
      <c r="E65" s="1732" t="s">
        <v>2282</v>
      </c>
      <c r="F65" s="1732" t="s">
        <v>2194</v>
      </c>
      <c r="G65" s="1732" t="s">
        <v>2283</v>
      </c>
      <c r="H65" s="1732" t="s">
        <v>17</v>
      </c>
      <c r="I65" s="1732" t="s">
        <v>2387</v>
      </c>
      <c r="J65" t="s">
        <v>17</v>
      </c>
      <c r="K65" t="s">
        <v>2381</v>
      </c>
      <c r="L65" t="s">
        <v>2388</v>
      </c>
      <c r="M65" t="s">
        <v>2389</v>
      </c>
      <c r="N65" t="s">
        <v>395</v>
      </c>
    </row>
    <row r="66" spans="1:14" ht="11.25" customHeight="1">
      <c r="A66" s="1732" t="s">
        <v>2190</v>
      </c>
      <c r="B66" s="1732" t="s">
        <v>14</v>
      </c>
      <c r="C66" s="1732" t="s">
        <v>2280</v>
      </c>
      <c r="D66" s="1732" t="s">
        <v>2281</v>
      </c>
      <c r="E66" s="1732" t="s">
        <v>2282</v>
      </c>
      <c r="F66" s="1732" t="s">
        <v>2194</v>
      </c>
      <c r="G66" s="1732" t="s">
        <v>2283</v>
      </c>
      <c r="H66" s="1732" t="s">
        <v>17</v>
      </c>
      <c r="I66" s="1732" t="s">
        <v>2387</v>
      </c>
      <c r="J66" t="s">
        <v>17</v>
      </c>
      <c r="K66" t="s">
        <v>2384</v>
      </c>
      <c r="L66" t="s">
        <v>1070</v>
      </c>
      <c r="M66" t="s">
        <v>2390</v>
      </c>
      <c r="N66" t="s">
        <v>395</v>
      </c>
    </row>
    <row r="67" spans="1:14" ht="11.25" customHeight="1">
      <c r="A67" s="1732" t="s">
        <v>2190</v>
      </c>
      <c r="B67" s="1732" t="s">
        <v>14</v>
      </c>
      <c r="C67" s="1732" t="s">
        <v>2290</v>
      </c>
      <c r="D67" s="1732" t="s">
        <v>2291</v>
      </c>
      <c r="E67" s="1732" t="s">
        <v>2292</v>
      </c>
      <c r="F67" s="1732" t="s">
        <v>2231</v>
      </c>
      <c r="G67" s="1732" t="s">
        <v>17</v>
      </c>
      <c r="H67" s="1732" t="s">
        <v>17</v>
      </c>
      <c r="I67" s="1732" t="s">
        <v>2293</v>
      </c>
      <c r="J67" t="s">
        <v>17</v>
      </c>
      <c r="K67" t="s">
        <v>2381</v>
      </c>
      <c r="L67" t="s">
        <v>2329</v>
      </c>
      <c r="M67" t="s">
        <v>2391</v>
      </c>
      <c r="N67" t="s">
        <v>395</v>
      </c>
    </row>
    <row r="68" spans="1:14" ht="11.25" customHeight="1">
      <c r="A68" s="1732" t="s">
        <v>2190</v>
      </c>
      <c r="B68" s="1732" t="s">
        <v>14</v>
      </c>
      <c r="C68" s="1732" t="s">
        <v>2290</v>
      </c>
      <c r="D68" s="1732" t="s">
        <v>2291</v>
      </c>
      <c r="E68" s="1732" t="s">
        <v>2292</v>
      </c>
      <c r="F68" s="1732" t="s">
        <v>2231</v>
      </c>
      <c r="G68" s="1732" t="s">
        <v>17</v>
      </c>
      <c r="H68" s="1732" t="s">
        <v>17</v>
      </c>
      <c r="I68" s="1732" t="s">
        <v>2293</v>
      </c>
      <c r="J68" t="s">
        <v>17</v>
      </c>
      <c r="K68" t="s">
        <v>2384</v>
      </c>
      <c r="L68" t="s">
        <v>2392</v>
      </c>
      <c r="M68" t="s">
        <v>2393</v>
      </c>
      <c r="N68" t="s">
        <v>395</v>
      </c>
    </row>
    <row r="69" spans="1:14" ht="11.25" customHeight="1">
      <c r="A69" s="1732" t="s">
        <v>2190</v>
      </c>
      <c r="B69" s="1732" t="s">
        <v>14</v>
      </c>
      <c r="C69" s="1732" t="s">
        <v>2300</v>
      </c>
      <c r="D69" s="1732" t="s">
        <v>2301</v>
      </c>
      <c r="E69" s="1732" t="s">
        <v>2302</v>
      </c>
      <c r="F69" s="1732" t="s">
        <v>2241</v>
      </c>
      <c r="G69" s="1732" t="s">
        <v>2303</v>
      </c>
      <c r="H69" s="1732" t="s">
        <v>17</v>
      </c>
      <c r="I69" s="1732" t="s">
        <v>2394</v>
      </c>
      <c r="J69" t="s">
        <v>17</v>
      </c>
      <c r="K69" t="s">
        <v>2381</v>
      </c>
      <c r="L69" t="s">
        <v>2382</v>
      </c>
      <c r="M69" t="s">
        <v>2383</v>
      </c>
      <c r="N69" t="s">
        <v>395</v>
      </c>
    </row>
    <row r="70" spans="1:14" ht="11.25" customHeight="1">
      <c r="A70" s="1732" t="s">
        <v>2190</v>
      </c>
      <c r="B70" s="1732" t="s">
        <v>14</v>
      </c>
      <c r="C70" s="1732" t="s">
        <v>2314</v>
      </c>
      <c r="D70" s="1732" t="s">
        <v>45</v>
      </c>
      <c r="E70" s="1732" t="s">
        <v>48</v>
      </c>
      <c r="F70" s="1732" t="s">
        <v>50</v>
      </c>
      <c r="G70" s="1732" t="s">
        <v>2315</v>
      </c>
      <c r="H70" s="1732" t="s">
        <v>17</v>
      </c>
      <c r="I70" s="1732" t="s">
        <v>2315</v>
      </c>
      <c r="J70" t="s">
        <v>17</v>
      </c>
      <c r="K70" t="s">
        <v>2381</v>
      </c>
      <c r="L70" t="s">
        <v>2382</v>
      </c>
      <c r="M70" t="s">
        <v>2383</v>
      </c>
      <c r="N70" t="s">
        <v>395</v>
      </c>
    </row>
    <row r="71" spans="1:14" ht="11.25" customHeight="1">
      <c r="A71" s="1732" t="s">
        <v>2190</v>
      </c>
      <c r="B71" s="1732" t="s">
        <v>14</v>
      </c>
      <c r="C71" s="1732" t="s">
        <v>2316</v>
      </c>
      <c r="D71" s="1732" t="s">
        <v>2317</v>
      </c>
      <c r="E71" s="1732" t="s">
        <v>2318</v>
      </c>
      <c r="F71" s="1732" t="s">
        <v>2224</v>
      </c>
      <c r="G71" s="1732" t="s">
        <v>2319</v>
      </c>
      <c r="H71" s="1732" t="s">
        <v>17</v>
      </c>
      <c r="I71" s="1732" t="s">
        <v>2395</v>
      </c>
      <c r="J71" t="s">
        <v>17</v>
      </c>
      <c r="K71" t="s">
        <v>2381</v>
      </c>
      <c r="L71" t="s">
        <v>2382</v>
      </c>
      <c r="M71" t="s">
        <v>2383</v>
      </c>
      <c r="N71" t="s">
        <v>395</v>
      </c>
    </row>
    <row r="72" spans="1:14" ht="11.25" customHeight="1">
      <c r="A72" s="1732" t="s">
        <v>2190</v>
      </c>
      <c r="B72" s="1732" t="s">
        <v>14</v>
      </c>
      <c r="C72" s="1732" t="s">
        <v>2348</v>
      </c>
      <c r="D72" s="1732" t="s">
        <v>2349</v>
      </c>
      <c r="E72" s="1732" t="s">
        <v>2350</v>
      </c>
      <c r="F72" s="1732" t="s">
        <v>2351</v>
      </c>
      <c r="G72" s="1732" t="s">
        <v>17</v>
      </c>
      <c r="H72" s="1732" t="s">
        <v>17</v>
      </c>
      <c r="I72" s="1732" t="s">
        <v>2352</v>
      </c>
      <c r="J72" t="s">
        <v>17</v>
      </c>
      <c r="K72" t="s">
        <v>2384</v>
      </c>
      <c r="L72" t="s">
        <v>2385</v>
      </c>
      <c r="M72" t="s">
        <v>2386</v>
      </c>
      <c r="N72" t="s">
        <v>395</v>
      </c>
    </row>
    <row r="73" spans="1:14" ht="11.25" customHeight="1">
      <c r="A73" s="1732" t="s">
        <v>2190</v>
      </c>
      <c r="B73" s="1732" t="s">
        <v>14</v>
      </c>
      <c r="C73" s="1732" t="s">
        <v>2370</v>
      </c>
      <c r="D73" s="1732" t="s">
        <v>2371</v>
      </c>
      <c r="E73" s="1732" t="s">
        <v>2372</v>
      </c>
      <c r="F73" s="1732" t="s">
        <v>2373</v>
      </c>
      <c r="G73" s="1732" t="s">
        <v>2374</v>
      </c>
      <c r="H73" s="1732" t="s">
        <v>17</v>
      </c>
      <c r="I73" s="1732" t="s">
        <v>2220</v>
      </c>
      <c r="J73" t="s">
        <v>17</v>
      </c>
      <c r="K73" t="s">
        <v>2381</v>
      </c>
      <c r="L73" t="s">
        <v>2382</v>
      </c>
      <c r="M73" t="s">
        <v>2383</v>
      </c>
      <c r="N73" t="s">
        <v>395</v>
      </c>
    </row>
    <row r="74" spans="1:14" ht="11.25" customHeight="1">
      <c r="A74" s="1732" t="s">
        <v>2190</v>
      </c>
      <c r="B74" s="1732" t="s">
        <v>14</v>
      </c>
      <c r="C74" s="1732" t="s">
        <v>2191</v>
      </c>
      <c r="D74" s="1732" t="s">
        <v>2192</v>
      </c>
      <c r="E74" s="1732" t="s">
        <v>2193</v>
      </c>
      <c r="F74" s="1732" t="s">
        <v>2194</v>
      </c>
      <c r="G74" s="1732" t="s">
        <v>2195</v>
      </c>
      <c r="H74" s="1732" t="s">
        <v>17</v>
      </c>
      <c r="I74" s="1732" t="s">
        <v>2195</v>
      </c>
      <c r="J74" t="s">
        <v>17</v>
      </c>
      <c r="K74" t="s">
        <v>2396</v>
      </c>
      <c r="L74" t="s">
        <v>2397</v>
      </c>
      <c r="M74" t="s">
        <v>2398</v>
      </c>
      <c r="N74" t="s">
        <v>393</v>
      </c>
    </row>
    <row r="75" spans="1:14" ht="11.25" customHeight="1">
      <c r="A75" s="1732" t="s">
        <v>2190</v>
      </c>
      <c r="B75" s="1732" t="s">
        <v>14</v>
      </c>
      <c r="C75" s="1732" t="s">
        <v>2198</v>
      </c>
      <c r="D75" s="1732" t="s">
        <v>2199</v>
      </c>
      <c r="E75" s="1732" t="s">
        <v>2200</v>
      </c>
      <c r="F75" s="1732" t="s">
        <v>50</v>
      </c>
      <c r="G75" s="1732" t="s">
        <v>2201</v>
      </c>
      <c r="H75" s="1732" t="s">
        <v>17</v>
      </c>
      <c r="I75" s="1732" t="s">
        <v>2399</v>
      </c>
      <c r="J75" t="s">
        <v>17</v>
      </c>
      <c r="K75" t="s">
        <v>2396</v>
      </c>
      <c r="L75" t="s">
        <v>2400</v>
      </c>
      <c r="M75" t="s">
        <v>2401</v>
      </c>
      <c r="N75" t="s">
        <v>393</v>
      </c>
    </row>
    <row r="76" spans="1:14" ht="11.25" customHeight="1">
      <c r="A76" s="1732" t="s">
        <v>2190</v>
      </c>
      <c r="B76" s="1732" t="s">
        <v>14</v>
      </c>
      <c r="C76" s="1732" t="s">
        <v>2402</v>
      </c>
      <c r="D76" s="1732" t="s">
        <v>2403</v>
      </c>
      <c r="E76" s="1732" t="s">
        <v>2404</v>
      </c>
      <c r="F76" s="1732" t="s">
        <v>2194</v>
      </c>
      <c r="G76" s="1732" t="s">
        <v>2405</v>
      </c>
      <c r="H76" s="1732" t="s">
        <v>17</v>
      </c>
      <c r="I76" s="1732" t="s">
        <v>2406</v>
      </c>
      <c r="J76" t="s">
        <v>17</v>
      </c>
      <c r="K76" t="s">
        <v>2396</v>
      </c>
      <c r="L76" t="s">
        <v>2407</v>
      </c>
      <c r="M76" t="s">
        <v>2408</v>
      </c>
      <c r="N76" t="s">
        <v>393</v>
      </c>
    </row>
    <row r="77" spans="1:14" ht="11.25" customHeight="1">
      <c r="A77" s="1732" t="s">
        <v>2190</v>
      </c>
      <c r="B77" s="1732" t="s">
        <v>14</v>
      </c>
      <c r="C77" s="1732" t="s">
        <v>2402</v>
      </c>
      <c r="D77" s="1732" t="s">
        <v>2403</v>
      </c>
      <c r="E77" s="1732" t="s">
        <v>2404</v>
      </c>
      <c r="F77" s="1732" t="s">
        <v>2194</v>
      </c>
      <c r="G77" s="1732" t="s">
        <v>2405</v>
      </c>
      <c r="H77" s="1732" t="s">
        <v>17</v>
      </c>
      <c r="I77" s="1732" t="s">
        <v>2406</v>
      </c>
      <c r="J77" t="s">
        <v>17</v>
      </c>
      <c r="K77" t="s">
        <v>2409</v>
      </c>
      <c r="L77" t="s">
        <v>2407</v>
      </c>
      <c r="M77" t="s">
        <v>2408</v>
      </c>
      <c r="N77" t="s">
        <v>393</v>
      </c>
    </row>
    <row r="78" spans="1:14" ht="11.25" customHeight="1">
      <c r="A78" s="1732" t="s">
        <v>2190</v>
      </c>
      <c r="B78" s="1732" t="s">
        <v>14</v>
      </c>
      <c r="C78" s="1732" t="s">
        <v>2410</v>
      </c>
      <c r="D78" s="1732" t="s">
        <v>2411</v>
      </c>
      <c r="E78" s="1732" t="s">
        <v>2412</v>
      </c>
      <c r="F78" s="1732" t="s">
        <v>2194</v>
      </c>
      <c r="G78" s="1732" t="s">
        <v>2413</v>
      </c>
      <c r="H78" s="1732" t="s">
        <v>17</v>
      </c>
      <c r="I78" s="1732" t="s">
        <v>2413</v>
      </c>
      <c r="J78" t="s">
        <v>17</v>
      </c>
      <c r="K78" t="s">
        <v>2396</v>
      </c>
      <c r="L78" t="s">
        <v>2397</v>
      </c>
      <c r="M78" t="s">
        <v>2398</v>
      </c>
      <c r="N78" t="s">
        <v>393</v>
      </c>
    </row>
    <row r="79" spans="1:14" ht="11.25" customHeight="1">
      <c r="A79" s="1732" t="s">
        <v>2190</v>
      </c>
      <c r="B79" s="1732" t="s">
        <v>14</v>
      </c>
      <c r="C79" s="1732" t="s">
        <v>2228</v>
      </c>
      <c r="D79" s="1732" t="s">
        <v>2229</v>
      </c>
      <c r="E79" s="1732" t="s">
        <v>2230</v>
      </c>
      <c r="F79" s="1732" t="s">
        <v>2231</v>
      </c>
      <c r="G79" s="1732" t="s">
        <v>2232</v>
      </c>
      <c r="H79" s="1732" t="s">
        <v>17</v>
      </c>
      <c r="I79" s="1732" t="s">
        <v>2232</v>
      </c>
      <c r="J79" t="s">
        <v>17</v>
      </c>
      <c r="K79" t="s">
        <v>2396</v>
      </c>
      <c r="L79" t="s">
        <v>2414</v>
      </c>
      <c r="M79" t="s">
        <v>2415</v>
      </c>
      <c r="N79" t="s">
        <v>393</v>
      </c>
    </row>
    <row r="80" spans="1:14" ht="11.25" customHeight="1">
      <c r="A80" s="1732" t="s">
        <v>2190</v>
      </c>
      <c r="B80" s="1732" t="s">
        <v>14</v>
      </c>
      <c r="C80" s="1732" t="s">
        <v>2228</v>
      </c>
      <c r="D80" s="1732" t="s">
        <v>2229</v>
      </c>
      <c r="E80" s="1732" t="s">
        <v>2230</v>
      </c>
      <c r="F80" s="1732" t="s">
        <v>2231</v>
      </c>
      <c r="G80" s="1732" t="s">
        <v>2232</v>
      </c>
      <c r="H80" s="1732" t="s">
        <v>17</v>
      </c>
      <c r="I80" s="1732" t="s">
        <v>2232</v>
      </c>
      <c r="J80" t="s">
        <v>17</v>
      </c>
      <c r="K80" t="s">
        <v>2409</v>
      </c>
      <c r="L80" t="s">
        <v>2414</v>
      </c>
      <c r="M80" t="s">
        <v>2415</v>
      </c>
      <c r="N80" t="s">
        <v>393</v>
      </c>
    </row>
    <row r="81" spans="1:14" ht="11.25" customHeight="1">
      <c r="A81" s="1732" t="s">
        <v>2190</v>
      </c>
      <c r="B81" s="1732" t="s">
        <v>14</v>
      </c>
      <c r="C81" s="1732" t="s">
        <v>2228</v>
      </c>
      <c r="D81" s="1732" t="s">
        <v>2229</v>
      </c>
      <c r="E81" s="1732" t="s">
        <v>2230</v>
      </c>
      <c r="F81" s="1732" t="s">
        <v>2231</v>
      </c>
      <c r="G81" s="1732" t="s">
        <v>2232</v>
      </c>
      <c r="H81" s="1732" t="s">
        <v>17</v>
      </c>
      <c r="I81" s="1732" t="s">
        <v>2416</v>
      </c>
      <c r="J81" t="s">
        <v>17</v>
      </c>
      <c r="K81" t="s">
        <v>2396</v>
      </c>
      <c r="L81" t="s">
        <v>2417</v>
      </c>
      <c r="M81" t="s">
        <v>2418</v>
      </c>
      <c r="N81" t="s">
        <v>393</v>
      </c>
    </row>
    <row r="82" spans="1:14" ht="11.25" customHeight="1">
      <c r="A82" s="1732" t="s">
        <v>2190</v>
      </c>
      <c r="B82" s="1732" t="s">
        <v>14</v>
      </c>
      <c r="C82" s="1732" t="s">
        <v>2228</v>
      </c>
      <c r="D82" s="1732" t="s">
        <v>2229</v>
      </c>
      <c r="E82" s="1732" t="s">
        <v>2230</v>
      </c>
      <c r="F82" s="1732" t="s">
        <v>2231</v>
      </c>
      <c r="G82" s="1732" t="s">
        <v>2232</v>
      </c>
      <c r="H82" s="1732" t="s">
        <v>17</v>
      </c>
      <c r="I82" s="1732" t="s">
        <v>2416</v>
      </c>
      <c r="J82" t="s">
        <v>17</v>
      </c>
      <c r="K82" t="s">
        <v>2409</v>
      </c>
      <c r="L82" t="s">
        <v>2417</v>
      </c>
      <c r="M82" t="s">
        <v>2418</v>
      </c>
      <c r="N82" t="s">
        <v>393</v>
      </c>
    </row>
    <row r="83" spans="1:14" ht="11.25" customHeight="1">
      <c r="A83" s="1732" t="s">
        <v>2190</v>
      </c>
      <c r="B83" s="1732" t="s">
        <v>14</v>
      </c>
      <c r="C83" s="1732" t="s">
        <v>2228</v>
      </c>
      <c r="D83" s="1732" t="s">
        <v>2229</v>
      </c>
      <c r="E83" s="1732" t="s">
        <v>2230</v>
      </c>
      <c r="F83" s="1732" t="s">
        <v>2231</v>
      </c>
      <c r="G83" s="1732" t="s">
        <v>2232</v>
      </c>
      <c r="H83" s="1732" t="s">
        <v>17</v>
      </c>
      <c r="I83" s="1732" t="s">
        <v>2419</v>
      </c>
      <c r="J83" t="s">
        <v>17</v>
      </c>
      <c r="K83" t="s">
        <v>2396</v>
      </c>
      <c r="L83" t="s">
        <v>2400</v>
      </c>
      <c r="M83" t="s">
        <v>2420</v>
      </c>
      <c r="N83" t="s">
        <v>393</v>
      </c>
    </row>
    <row r="84" spans="1:14" ht="11.25" customHeight="1">
      <c r="A84" s="1732" t="s">
        <v>2190</v>
      </c>
      <c r="B84" s="1732" t="s">
        <v>14</v>
      </c>
      <c r="C84" s="1732" t="s">
        <v>2228</v>
      </c>
      <c r="D84" s="1732" t="s">
        <v>2229</v>
      </c>
      <c r="E84" s="1732" t="s">
        <v>2230</v>
      </c>
      <c r="F84" s="1732" t="s">
        <v>2231</v>
      </c>
      <c r="G84" s="1732" t="s">
        <v>2232</v>
      </c>
      <c r="H84" s="1732" t="s">
        <v>17</v>
      </c>
      <c r="I84" s="1732" t="s">
        <v>2419</v>
      </c>
      <c r="J84" t="s">
        <v>17</v>
      </c>
      <c r="K84" t="s">
        <v>2409</v>
      </c>
      <c r="L84" t="s">
        <v>2400</v>
      </c>
      <c r="M84" t="s">
        <v>2420</v>
      </c>
      <c r="N84" t="s">
        <v>393</v>
      </c>
    </row>
    <row r="85" spans="1:14" ht="11.25" customHeight="1">
      <c r="A85" s="1732" t="s">
        <v>2190</v>
      </c>
      <c r="B85" s="1732" t="s">
        <v>14</v>
      </c>
      <c r="C85" s="1732" t="s">
        <v>2228</v>
      </c>
      <c r="D85" s="1732" t="s">
        <v>2229</v>
      </c>
      <c r="E85" s="1732" t="s">
        <v>2230</v>
      </c>
      <c r="F85" s="1732" t="s">
        <v>2231</v>
      </c>
      <c r="G85" s="1732" t="s">
        <v>2232</v>
      </c>
      <c r="H85" s="1732" t="s">
        <v>17</v>
      </c>
      <c r="I85" s="1732" t="s">
        <v>2421</v>
      </c>
      <c r="J85" t="s">
        <v>17</v>
      </c>
      <c r="K85" t="s">
        <v>2396</v>
      </c>
      <c r="L85" t="s">
        <v>2422</v>
      </c>
      <c r="M85" t="s">
        <v>2423</v>
      </c>
      <c r="N85" t="s">
        <v>393</v>
      </c>
    </row>
    <row r="86" spans="1:14" ht="11.25" customHeight="1">
      <c r="A86" s="1732" t="s">
        <v>2190</v>
      </c>
      <c r="B86" s="1732" t="s">
        <v>14</v>
      </c>
      <c r="C86" s="1732" t="s">
        <v>2424</v>
      </c>
      <c r="D86" s="1732" t="s">
        <v>2425</v>
      </c>
      <c r="E86" s="1732" t="s">
        <v>2426</v>
      </c>
      <c r="F86" s="1732" t="s">
        <v>2231</v>
      </c>
      <c r="G86" s="1732" t="s">
        <v>2427</v>
      </c>
      <c r="H86" s="1732" t="s">
        <v>17</v>
      </c>
      <c r="I86" s="1732" t="s">
        <v>2428</v>
      </c>
      <c r="J86" t="s">
        <v>17</v>
      </c>
      <c r="K86" t="s">
        <v>2396</v>
      </c>
      <c r="L86" t="s">
        <v>2407</v>
      </c>
      <c r="M86" t="s">
        <v>2408</v>
      </c>
      <c r="N86" t="s">
        <v>393</v>
      </c>
    </row>
    <row r="87" spans="1:14" ht="11.25" customHeight="1">
      <c r="A87" s="1732" t="s">
        <v>2190</v>
      </c>
      <c r="B87" s="1732" t="s">
        <v>14</v>
      </c>
      <c r="C87" s="1732" t="s">
        <v>2424</v>
      </c>
      <c r="D87" s="1732" t="s">
        <v>2425</v>
      </c>
      <c r="E87" s="1732" t="s">
        <v>2426</v>
      </c>
      <c r="F87" s="1732" t="s">
        <v>2231</v>
      </c>
      <c r="G87" s="1732" t="s">
        <v>2427</v>
      </c>
      <c r="H87" s="1732" t="s">
        <v>17</v>
      </c>
      <c r="I87" s="1732" t="s">
        <v>2428</v>
      </c>
      <c r="J87" t="s">
        <v>17</v>
      </c>
      <c r="K87" t="s">
        <v>2409</v>
      </c>
      <c r="L87" t="s">
        <v>2407</v>
      </c>
      <c r="M87" t="s">
        <v>2408</v>
      </c>
      <c r="N87" t="s">
        <v>393</v>
      </c>
    </row>
    <row r="88" spans="1:14" ht="11.25" customHeight="1">
      <c r="A88" s="1732" t="s">
        <v>2190</v>
      </c>
      <c r="B88" s="1732" t="s">
        <v>14</v>
      </c>
      <c r="C88" s="1732" t="s">
        <v>2233</v>
      </c>
      <c r="D88" s="1732" t="s">
        <v>2234</v>
      </c>
      <c r="E88" s="1732" t="s">
        <v>2235</v>
      </c>
      <c r="F88" s="1732" t="s">
        <v>2236</v>
      </c>
      <c r="G88" s="1732" t="s">
        <v>2237</v>
      </c>
      <c r="H88" s="1732" t="s">
        <v>17</v>
      </c>
      <c r="I88" s="1732" t="s">
        <v>2237</v>
      </c>
      <c r="J88" t="s">
        <v>17</v>
      </c>
      <c r="K88" t="s">
        <v>2396</v>
      </c>
      <c r="L88" t="s">
        <v>2397</v>
      </c>
      <c r="M88" t="s">
        <v>2398</v>
      </c>
      <c r="N88" t="s">
        <v>393</v>
      </c>
    </row>
    <row r="89" spans="1:14" ht="11.25" customHeight="1">
      <c r="A89" s="1732" t="s">
        <v>2190</v>
      </c>
      <c r="B89" s="1732" t="s">
        <v>14</v>
      </c>
      <c r="C89" s="1732" t="s">
        <v>2429</v>
      </c>
      <c r="D89" s="1732" t="s">
        <v>2430</v>
      </c>
      <c r="E89" s="1732" t="s">
        <v>2431</v>
      </c>
      <c r="F89" s="1732" t="s">
        <v>2231</v>
      </c>
      <c r="G89" s="1732" t="s">
        <v>2432</v>
      </c>
      <c r="H89" s="1732" t="s">
        <v>17</v>
      </c>
      <c r="I89" s="1732" t="s">
        <v>2433</v>
      </c>
      <c r="J89" t="s">
        <v>17</v>
      </c>
      <c r="K89" t="s">
        <v>2396</v>
      </c>
      <c r="L89" t="s">
        <v>2400</v>
      </c>
      <c r="M89" t="s">
        <v>2434</v>
      </c>
      <c r="N89" t="s">
        <v>393</v>
      </c>
    </row>
    <row r="90" spans="1:14" ht="11.25" customHeight="1">
      <c r="A90" s="1732" t="s">
        <v>2190</v>
      </c>
      <c r="B90" s="1732" t="s">
        <v>14</v>
      </c>
      <c r="C90" s="1732" t="s">
        <v>2429</v>
      </c>
      <c r="D90" s="1732" t="s">
        <v>2430</v>
      </c>
      <c r="E90" s="1732" t="s">
        <v>2431</v>
      </c>
      <c r="F90" s="1732" t="s">
        <v>2231</v>
      </c>
      <c r="G90" s="1732" t="s">
        <v>2432</v>
      </c>
      <c r="H90" s="1732" t="s">
        <v>17</v>
      </c>
      <c r="I90" s="1732" t="s">
        <v>2433</v>
      </c>
      <c r="J90" t="s">
        <v>17</v>
      </c>
      <c r="K90" t="s">
        <v>2409</v>
      </c>
      <c r="L90" t="s">
        <v>2400</v>
      </c>
      <c r="M90" t="s">
        <v>2434</v>
      </c>
      <c r="N90" t="s">
        <v>393</v>
      </c>
    </row>
    <row r="91" spans="1:14" ht="11.25" customHeight="1">
      <c r="A91" s="1732" t="s">
        <v>2190</v>
      </c>
      <c r="B91" s="1732" t="s">
        <v>14</v>
      </c>
      <c r="C91" s="1732" t="s">
        <v>2429</v>
      </c>
      <c r="D91" s="1732" t="s">
        <v>2430</v>
      </c>
      <c r="E91" s="1732" t="s">
        <v>2431</v>
      </c>
      <c r="F91" s="1732" t="s">
        <v>2231</v>
      </c>
      <c r="G91" s="1732" t="s">
        <v>2432</v>
      </c>
      <c r="H91" s="1732" t="s">
        <v>17</v>
      </c>
      <c r="I91" s="1732" t="s">
        <v>2433</v>
      </c>
      <c r="J91" t="s">
        <v>17</v>
      </c>
      <c r="K91" t="s">
        <v>2396</v>
      </c>
      <c r="L91" t="s">
        <v>2407</v>
      </c>
      <c r="M91" t="s">
        <v>2408</v>
      </c>
      <c r="N91" t="s">
        <v>393</v>
      </c>
    </row>
    <row r="92" spans="1:14" ht="11.25" customHeight="1">
      <c r="A92" s="1732" t="s">
        <v>2190</v>
      </c>
      <c r="B92" s="1732" t="s">
        <v>14</v>
      </c>
      <c r="C92" s="1732" t="s">
        <v>2429</v>
      </c>
      <c r="D92" s="1732" t="s">
        <v>2430</v>
      </c>
      <c r="E92" s="1732" t="s">
        <v>2431</v>
      </c>
      <c r="F92" s="1732" t="s">
        <v>2231</v>
      </c>
      <c r="G92" s="1732" t="s">
        <v>2432</v>
      </c>
      <c r="H92" s="1732" t="s">
        <v>17</v>
      </c>
      <c r="I92" s="1732" t="s">
        <v>2433</v>
      </c>
      <c r="J92" t="s">
        <v>17</v>
      </c>
      <c r="K92" t="s">
        <v>2409</v>
      </c>
      <c r="L92" t="s">
        <v>2407</v>
      </c>
      <c r="M92" t="s">
        <v>2408</v>
      </c>
      <c r="N92" t="s">
        <v>393</v>
      </c>
    </row>
    <row r="93" spans="1:14" ht="11.25" customHeight="1">
      <c r="A93" s="1732" t="s">
        <v>2190</v>
      </c>
      <c r="B93" s="1732" t="s">
        <v>14</v>
      </c>
      <c r="C93" s="1732" t="s">
        <v>2435</v>
      </c>
      <c r="D93" s="1732" t="s">
        <v>2436</v>
      </c>
      <c r="E93" s="1732" t="s">
        <v>2437</v>
      </c>
      <c r="F93" s="1732" t="s">
        <v>2224</v>
      </c>
      <c r="G93" s="1732" t="s">
        <v>2243</v>
      </c>
      <c r="H93" s="1732" t="s">
        <v>17</v>
      </c>
      <c r="I93" s="1732" t="s">
        <v>2438</v>
      </c>
      <c r="J93" t="s">
        <v>17</v>
      </c>
      <c r="K93" t="s">
        <v>2396</v>
      </c>
      <c r="L93" t="s">
        <v>2439</v>
      </c>
      <c r="M93" t="s">
        <v>2440</v>
      </c>
      <c r="N93" t="s">
        <v>393</v>
      </c>
    </row>
    <row r="94" spans="1:14" ht="11.25" customHeight="1">
      <c r="A94" s="1732" t="s">
        <v>2190</v>
      </c>
      <c r="B94" s="1732" t="s">
        <v>14</v>
      </c>
      <c r="C94" s="1732" t="s">
        <v>2435</v>
      </c>
      <c r="D94" s="1732" t="s">
        <v>2436</v>
      </c>
      <c r="E94" s="1732" t="s">
        <v>2437</v>
      </c>
      <c r="F94" s="1732" t="s">
        <v>2224</v>
      </c>
      <c r="G94" s="1732" t="s">
        <v>2243</v>
      </c>
      <c r="H94" s="1732" t="s">
        <v>17</v>
      </c>
      <c r="I94" s="1732" t="s">
        <v>2438</v>
      </c>
      <c r="J94" t="s">
        <v>17</v>
      </c>
      <c r="K94" t="s">
        <v>2409</v>
      </c>
      <c r="L94" t="s">
        <v>2439</v>
      </c>
      <c r="M94" t="s">
        <v>2440</v>
      </c>
      <c r="N94" t="s">
        <v>393</v>
      </c>
    </row>
    <row r="95" spans="1:14" ht="11.25" customHeight="1">
      <c r="A95" s="1732" t="s">
        <v>2190</v>
      </c>
      <c r="B95" s="1732" t="s">
        <v>14</v>
      </c>
      <c r="C95" s="1732" t="s">
        <v>2435</v>
      </c>
      <c r="D95" s="1732" t="s">
        <v>2436</v>
      </c>
      <c r="E95" s="1732" t="s">
        <v>2437</v>
      </c>
      <c r="F95" s="1732" t="s">
        <v>2224</v>
      </c>
      <c r="G95" s="1732" t="s">
        <v>2243</v>
      </c>
      <c r="H95" s="1732" t="s">
        <v>17</v>
      </c>
      <c r="I95" s="1732" t="s">
        <v>2441</v>
      </c>
      <c r="J95" t="s">
        <v>17</v>
      </c>
      <c r="K95" t="s">
        <v>2396</v>
      </c>
      <c r="L95" t="s">
        <v>2442</v>
      </c>
      <c r="M95" t="s">
        <v>2443</v>
      </c>
      <c r="N95" t="s">
        <v>393</v>
      </c>
    </row>
    <row r="96" spans="1:14" ht="11.25" customHeight="1">
      <c r="A96" s="1732" t="s">
        <v>2190</v>
      </c>
      <c r="B96" s="1732" t="s">
        <v>14</v>
      </c>
      <c r="C96" s="1732" t="s">
        <v>2435</v>
      </c>
      <c r="D96" s="1732" t="s">
        <v>2436</v>
      </c>
      <c r="E96" s="1732" t="s">
        <v>2437</v>
      </c>
      <c r="F96" s="1732" t="s">
        <v>2224</v>
      </c>
      <c r="G96" s="1732" t="s">
        <v>2243</v>
      </c>
      <c r="H96" s="1732" t="s">
        <v>17</v>
      </c>
      <c r="I96" s="1732" t="s">
        <v>2441</v>
      </c>
      <c r="J96" t="s">
        <v>17</v>
      </c>
      <c r="K96" t="s">
        <v>2409</v>
      </c>
      <c r="L96" t="s">
        <v>2442</v>
      </c>
      <c r="M96" t="s">
        <v>2443</v>
      </c>
      <c r="N96" t="s">
        <v>393</v>
      </c>
    </row>
    <row r="97" spans="1:14" ht="11.25" customHeight="1">
      <c r="A97" s="1732" t="s">
        <v>2190</v>
      </c>
      <c r="B97" s="1732" t="s">
        <v>14</v>
      </c>
      <c r="C97" s="1732" t="s">
        <v>2435</v>
      </c>
      <c r="D97" s="1732" t="s">
        <v>2436</v>
      </c>
      <c r="E97" s="1732" t="s">
        <v>2437</v>
      </c>
      <c r="F97" s="1732" t="s">
        <v>2224</v>
      </c>
      <c r="G97" s="1732" t="s">
        <v>2243</v>
      </c>
      <c r="H97" s="1732" t="s">
        <v>17</v>
      </c>
      <c r="I97" s="1732" t="s">
        <v>2441</v>
      </c>
      <c r="J97" t="s">
        <v>17</v>
      </c>
      <c r="K97" t="s">
        <v>2396</v>
      </c>
      <c r="L97" t="s">
        <v>2407</v>
      </c>
      <c r="M97" t="s">
        <v>2408</v>
      </c>
      <c r="N97" t="s">
        <v>393</v>
      </c>
    </row>
    <row r="98" spans="1:14" ht="11.25" customHeight="1">
      <c r="A98" s="1732" t="s">
        <v>2190</v>
      </c>
      <c r="B98" s="1732" t="s">
        <v>14</v>
      </c>
      <c r="C98" s="1732" t="s">
        <v>2435</v>
      </c>
      <c r="D98" s="1732" t="s">
        <v>2436</v>
      </c>
      <c r="E98" s="1732" t="s">
        <v>2437</v>
      </c>
      <c r="F98" s="1732" t="s">
        <v>2224</v>
      </c>
      <c r="G98" s="1732" t="s">
        <v>2243</v>
      </c>
      <c r="H98" s="1732" t="s">
        <v>17</v>
      </c>
      <c r="I98" s="1732" t="s">
        <v>2441</v>
      </c>
      <c r="J98" t="s">
        <v>17</v>
      </c>
      <c r="K98" t="s">
        <v>2409</v>
      </c>
      <c r="L98" t="s">
        <v>2407</v>
      </c>
      <c r="M98" t="s">
        <v>2408</v>
      </c>
      <c r="N98" t="s">
        <v>393</v>
      </c>
    </row>
    <row r="99" spans="1:14" ht="11.25" customHeight="1">
      <c r="A99" s="1732" t="s">
        <v>2190</v>
      </c>
      <c r="B99" s="1732" t="s">
        <v>14</v>
      </c>
      <c r="C99" s="1732" t="s">
        <v>2444</v>
      </c>
      <c r="D99" s="1732" t="s">
        <v>2445</v>
      </c>
      <c r="E99" s="1732" t="s">
        <v>2446</v>
      </c>
      <c r="F99" s="1732" t="s">
        <v>2194</v>
      </c>
      <c r="G99" s="1732" t="s">
        <v>2447</v>
      </c>
      <c r="H99" s="1732" t="s">
        <v>17</v>
      </c>
      <c r="I99" s="1732" t="s">
        <v>2220</v>
      </c>
      <c r="J99" t="s">
        <v>17</v>
      </c>
      <c r="K99" t="s">
        <v>2396</v>
      </c>
      <c r="L99" t="s">
        <v>2407</v>
      </c>
      <c r="M99" t="s">
        <v>2408</v>
      </c>
      <c r="N99" t="s">
        <v>393</v>
      </c>
    </row>
    <row r="100" spans="1:14" ht="11.25" customHeight="1">
      <c r="A100" s="1732" t="s">
        <v>2190</v>
      </c>
      <c r="B100" s="1732" t="s">
        <v>14</v>
      </c>
      <c r="C100" s="1732" t="s">
        <v>2444</v>
      </c>
      <c r="D100" s="1732" t="s">
        <v>2445</v>
      </c>
      <c r="E100" s="1732" t="s">
        <v>2446</v>
      </c>
      <c r="F100" s="1732" t="s">
        <v>2194</v>
      </c>
      <c r="G100" s="1732" t="s">
        <v>2447</v>
      </c>
      <c r="H100" s="1732" t="s">
        <v>17</v>
      </c>
      <c r="I100" s="1732" t="s">
        <v>2220</v>
      </c>
      <c r="J100" t="s">
        <v>17</v>
      </c>
      <c r="K100" t="s">
        <v>2409</v>
      </c>
      <c r="L100" t="s">
        <v>2407</v>
      </c>
      <c r="M100" t="s">
        <v>2408</v>
      </c>
      <c r="N100" t="s">
        <v>393</v>
      </c>
    </row>
    <row r="101" spans="1:14" ht="11.25" customHeight="1">
      <c r="A101" s="1732" t="s">
        <v>2190</v>
      </c>
      <c r="B101" s="1732" t="s">
        <v>14</v>
      </c>
      <c r="C101" s="1732" t="s">
        <v>2448</v>
      </c>
      <c r="D101" s="1732" t="s">
        <v>2449</v>
      </c>
      <c r="E101" s="1732" t="s">
        <v>2450</v>
      </c>
      <c r="F101" s="1732" t="s">
        <v>2241</v>
      </c>
      <c r="G101" s="1732" t="s">
        <v>2451</v>
      </c>
      <c r="H101" s="1732" t="s">
        <v>17</v>
      </c>
      <c r="I101" s="1732" t="s">
        <v>2452</v>
      </c>
      <c r="J101" t="s">
        <v>17</v>
      </c>
      <c r="K101" t="s">
        <v>2396</v>
      </c>
      <c r="L101" t="s">
        <v>2439</v>
      </c>
      <c r="M101" t="s">
        <v>2440</v>
      </c>
      <c r="N101" t="s">
        <v>393</v>
      </c>
    </row>
    <row r="102" spans="1:14" ht="11.25" customHeight="1">
      <c r="A102" s="1732" t="s">
        <v>2190</v>
      </c>
      <c r="B102" s="1732" t="s">
        <v>14</v>
      </c>
      <c r="C102" s="1732" t="s">
        <v>2448</v>
      </c>
      <c r="D102" s="1732" t="s">
        <v>2449</v>
      </c>
      <c r="E102" s="1732" t="s">
        <v>2450</v>
      </c>
      <c r="F102" s="1732" t="s">
        <v>2241</v>
      </c>
      <c r="G102" s="1732" t="s">
        <v>2451</v>
      </c>
      <c r="H102" s="1732" t="s">
        <v>17</v>
      </c>
      <c r="I102" s="1732" t="s">
        <v>2452</v>
      </c>
      <c r="J102" t="s">
        <v>17</v>
      </c>
      <c r="K102" t="s">
        <v>2409</v>
      </c>
      <c r="L102" t="s">
        <v>2439</v>
      </c>
      <c r="M102" t="s">
        <v>2440</v>
      </c>
      <c r="N102" t="s">
        <v>393</v>
      </c>
    </row>
    <row r="103" spans="1:14" ht="11.25" customHeight="1">
      <c r="A103" s="1732" t="s">
        <v>2190</v>
      </c>
      <c r="B103" s="1732" t="s">
        <v>14</v>
      </c>
      <c r="C103" s="1732" t="s">
        <v>2448</v>
      </c>
      <c r="D103" s="1732" t="s">
        <v>2449</v>
      </c>
      <c r="E103" s="1732" t="s">
        <v>2450</v>
      </c>
      <c r="F103" s="1732" t="s">
        <v>2241</v>
      </c>
      <c r="G103" s="1732" t="s">
        <v>2451</v>
      </c>
      <c r="H103" s="1732" t="s">
        <v>17</v>
      </c>
      <c r="I103" s="1732" t="s">
        <v>2453</v>
      </c>
      <c r="J103" t="s">
        <v>17</v>
      </c>
      <c r="K103" t="s">
        <v>2396</v>
      </c>
      <c r="L103" t="s">
        <v>2407</v>
      </c>
      <c r="M103" t="s">
        <v>2408</v>
      </c>
      <c r="N103" t="s">
        <v>393</v>
      </c>
    </row>
    <row r="104" spans="1:14" ht="11.25" customHeight="1">
      <c r="A104" s="1732" t="s">
        <v>2190</v>
      </c>
      <c r="B104" s="1732" t="s">
        <v>14</v>
      </c>
      <c r="C104" s="1732" t="s">
        <v>2448</v>
      </c>
      <c r="D104" s="1732" t="s">
        <v>2449</v>
      </c>
      <c r="E104" s="1732" t="s">
        <v>2450</v>
      </c>
      <c r="F104" s="1732" t="s">
        <v>2241</v>
      </c>
      <c r="G104" s="1732" t="s">
        <v>2451</v>
      </c>
      <c r="H104" s="1732" t="s">
        <v>17</v>
      </c>
      <c r="I104" s="1732" t="s">
        <v>2453</v>
      </c>
      <c r="J104" t="s">
        <v>17</v>
      </c>
      <c r="K104" t="s">
        <v>2409</v>
      </c>
      <c r="L104" t="s">
        <v>2407</v>
      </c>
      <c r="M104" t="s">
        <v>2408</v>
      </c>
      <c r="N104" t="s">
        <v>393</v>
      </c>
    </row>
    <row r="105" spans="1:14" ht="11.25" customHeight="1">
      <c r="A105" s="1732" t="s">
        <v>2190</v>
      </c>
      <c r="B105" s="1732" t="s">
        <v>14</v>
      </c>
      <c r="C105" s="1732" t="s">
        <v>2448</v>
      </c>
      <c r="D105" s="1732" t="s">
        <v>2449</v>
      </c>
      <c r="E105" s="1732" t="s">
        <v>2450</v>
      </c>
      <c r="F105" s="1732" t="s">
        <v>2241</v>
      </c>
      <c r="G105" s="1732" t="s">
        <v>2451</v>
      </c>
      <c r="H105" s="1732" t="s">
        <v>17</v>
      </c>
      <c r="I105" s="1732" t="s">
        <v>2227</v>
      </c>
      <c r="J105" t="s">
        <v>17</v>
      </c>
      <c r="K105" t="s">
        <v>2396</v>
      </c>
      <c r="L105" t="s">
        <v>2407</v>
      </c>
      <c r="M105" t="s">
        <v>2408</v>
      </c>
      <c r="N105" t="s">
        <v>393</v>
      </c>
    </row>
    <row r="106" spans="1:14" ht="11.25" customHeight="1">
      <c r="A106" s="1732" t="s">
        <v>2190</v>
      </c>
      <c r="B106" s="1732" t="s">
        <v>14</v>
      </c>
      <c r="C106" s="1732" t="s">
        <v>2448</v>
      </c>
      <c r="D106" s="1732" t="s">
        <v>2449</v>
      </c>
      <c r="E106" s="1732" t="s">
        <v>2450</v>
      </c>
      <c r="F106" s="1732" t="s">
        <v>2241</v>
      </c>
      <c r="G106" s="1732" t="s">
        <v>2451</v>
      </c>
      <c r="H106" s="1732" t="s">
        <v>17</v>
      </c>
      <c r="I106" s="1732" t="s">
        <v>2227</v>
      </c>
      <c r="J106" t="s">
        <v>17</v>
      </c>
      <c r="K106" t="s">
        <v>2409</v>
      </c>
      <c r="L106" t="s">
        <v>2407</v>
      </c>
      <c r="M106" t="s">
        <v>2408</v>
      </c>
      <c r="N106" t="s">
        <v>393</v>
      </c>
    </row>
    <row r="107" spans="1:14" ht="11.25" customHeight="1">
      <c r="A107" s="1732" t="s">
        <v>2190</v>
      </c>
      <c r="B107" s="1732" t="s">
        <v>14</v>
      </c>
      <c r="C107" s="1732" t="s">
        <v>2448</v>
      </c>
      <c r="D107" s="1732" t="s">
        <v>2449</v>
      </c>
      <c r="E107" s="1732" t="s">
        <v>2450</v>
      </c>
      <c r="F107" s="1732" t="s">
        <v>2241</v>
      </c>
      <c r="G107" s="1732" t="s">
        <v>2451</v>
      </c>
      <c r="H107" s="1732" t="s">
        <v>17</v>
      </c>
      <c r="I107" s="1732" t="s">
        <v>2454</v>
      </c>
      <c r="J107" t="s">
        <v>17</v>
      </c>
      <c r="K107" t="s">
        <v>2396</v>
      </c>
      <c r="L107" t="s">
        <v>2407</v>
      </c>
      <c r="M107" t="s">
        <v>2408</v>
      </c>
      <c r="N107" t="s">
        <v>393</v>
      </c>
    </row>
    <row r="108" spans="1:14" ht="11.25" customHeight="1">
      <c r="A108" s="1732" t="s">
        <v>2190</v>
      </c>
      <c r="B108" s="1732" t="s">
        <v>14</v>
      </c>
      <c r="C108" s="1732" t="s">
        <v>2448</v>
      </c>
      <c r="D108" s="1732" t="s">
        <v>2449</v>
      </c>
      <c r="E108" s="1732" t="s">
        <v>2450</v>
      </c>
      <c r="F108" s="1732" t="s">
        <v>2241</v>
      </c>
      <c r="G108" s="1732" t="s">
        <v>2451</v>
      </c>
      <c r="H108" s="1732" t="s">
        <v>17</v>
      </c>
      <c r="I108" s="1732" t="s">
        <v>2454</v>
      </c>
      <c r="J108" t="s">
        <v>17</v>
      </c>
      <c r="K108" t="s">
        <v>2409</v>
      </c>
      <c r="L108" t="s">
        <v>2407</v>
      </c>
      <c r="M108" t="s">
        <v>2408</v>
      </c>
      <c r="N108" t="s">
        <v>393</v>
      </c>
    </row>
    <row r="109" spans="1:14" ht="11.25" customHeight="1">
      <c r="A109" s="1732" t="s">
        <v>2190</v>
      </c>
      <c r="B109" s="1732" t="s">
        <v>14</v>
      </c>
      <c r="C109" s="1732" t="s">
        <v>2246</v>
      </c>
      <c r="D109" s="1732" t="s">
        <v>2247</v>
      </c>
      <c r="E109" s="1732" t="s">
        <v>2248</v>
      </c>
      <c r="F109" s="1732" t="s">
        <v>2231</v>
      </c>
      <c r="G109" s="1732" t="s">
        <v>2249</v>
      </c>
      <c r="H109" s="1732" t="s">
        <v>17</v>
      </c>
      <c r="I109" s="1732" t="s">
        <v>2249</v>
      </c>
      <c r="J109" t="s">
        <v>17</v>
      </c>
      <c r="K109" t="s">
        <v>2396</v>
      </c>
      <c r="L109" t="s">
        <v>2455</v>
      </c>
      <c r="M109" t="s">
        <v>2456</v>
      </c>
      <c r="N109" t="s">
        <v>393</v>
      </c>
    </row>
    <row r="110" spans="1:14" ht="11.25" customHeight="1">
      <c r="A110" s="1732" t="s">
        <v>2190</v>
      </c>
      <c r="B110" s="1732" t="s">
        <v>14</v>
      </c>
      <c r="C110" s="1732" t="s">
        <v>2246</v>
      </c>
      <c r="D110" s="1732" t="s">
        <v>2247</v>
      </c>
      <c r="E110" s="1732" t="s">
        <v>2248</v>
      </c>
      <c r="F110" s="1732" t="s">
        <v>2231</v>
      </c>
      <c r="G110" s="1732" t="s">
        <v>2249</v>
      </c>
      <c r="H110" s="1732" t="s">
        <v>17</v>
      </c>
      <c r="I110" s="1732" t="s">
        <v>2249</v>
      </c>
      <c r="J110" t="s">
        <v>17</v>
      </c>
      <c r="K110" t="s">
        <v>2409</v>
      </c>
      <c r="L110" t="s">
        <v>2455</v>
      </c>
      <c r="M110" t="s">
        <v>2456</v>
      </c>
      <c r="N110" t="s">
        <v>393</v>
      </c>
    </row>
    <row r="111" spans="1:14" ht="11.25" customHeight="1">
      <c r="A111" s="1732" t="s">
        <v>2190</v>
      </c>
      <c r="B111" s="1732" t="s">
        <v>14</v>
      </c>
      <c r="C111" s="1732" t="s">
        <v>2246</v>
      </c>
      <c r="D111" s="1732" t="s">
        <v>2247</v>
      </c>
      <c r="E111" s="1732" t="s">
        <v>2248</v>
      </c>
      <c r="F111" s="1732" t="s">
        <v>2231</v>
      </c>
      <c r="G111" s="1732" t="s">
        <v>2249</v>
      </c>
      <c r="H111" s="1732" t="s">
        <v>17</v>
      </c>
      <c r="I111" s="1732" t="s">
        <v>2457</v>
      </c>
      <c r="J111" t="s">
        <v>17</v>
      </c>
      <c r="K111" t="s">
        <v>2396</v>
      </c>
      <c r="L111" t="s">
        <v>2407</v>
      </c>
      <c r="M111" t="s">
        <v>2408</v>
      </c>
      <c r="N111" t="s">
        <v>393</v>
      </c>
    </row>
    <row r="112" spans="1:14" ht="11.25" customHeight="1">
      <c r="A112" s="1732" t="s">
        <v>2190</v>
      </c>
      <c r="B112" s="1732" t="s">
        <v>14</v>
      </c>
      <c r="C112" s="1732" t="s">
        <v>2246</v>
      </c>
      <c r="D112" s="1732" t="s">
        <v>2247</v>
      </c>
      <c r="E112" s="1732" t="s">
        <v>2248</v>
      </c>
      <c r="F112" s="1732" t="s">
        <v>2231</v>
      </c>
      <c r="G112" s="1732" t="s">
        <v>2249</v>
      </c>
      <c r="H112" s="1732" t="s">
        <v>17</v>
      </c>
      <c r="I112" s="1732" t="s">
        <v>2457</v>
      </c>
      <c r="J112" t="s">
        <v>17</v>
      </c>
      <c r="K112" t="s">
        <v>2409</v>
      </c>
      <c r="L112" t="s">
        <v>2407</v>
      </c>
      <c r="M112" t="s">
        <v>2408</v>
      </c>
      <c r="N112" t="s">
        <v>393</v>
      </c>
    </row>
    <row r="113" spans="1:14" ht="11.25" customHeight="1">
      <c r="A113" s="1732" t="s">
        <v>2190</v>
      </c>
      <c r="B113" s="1732" t="s">
        <v>14</v>
      </c>
      <c r="C113" s="1732" t="s">
        <v>2246</v>
      </c>
      <c r="D113" s="1732" t="s">
        <v>2247</v>
      </c>
      <c r="E113" s="1732" t="s">
        <v>2248</v>
      </c>
      <c r="F113" s="1732" t="s">
        <v>2231</v>
      </c>
      <c r="G113" s="1732" t="s">
        <v>2249</v>
      </c>
      <c r="H113" s="1732" t="s">
        <v>17</v>
      </c>
      <c r="I113" s="1732" t="s">
        <v>2458</v>
      </c>
      <c r="J113" t="s">
        <v>17</v>
      </c>
      <c r="K113" t="s">
        <v>2396</v>
      </c>
      <c r="L113" t="s">
        <v>2459</v>
      </c>
      <c r="M113" t="s">
        <v>2460</v>
      </c>
      <c r="N113" t="s">
        <v>393</v>
      </c>
    </row>
    <row r="114" spans="1:14" ht="11.25" customHeight="1">
      <c r="A114" s="1732" t="s">
        <v>2190</v>
      </c>
      <c r="B114" s="1732" t="s">
        <v>14</v>
      </c>
      <c r="C114" s="1732" t="s">
        <v>2246</v>
      </c>
      <c r="D114" s="1732" t="s">
        <v>2247</v>
      </c>
      <c r="E114" s="1732" t="s">
        <v>2248</v>
      </c>
      <c r="F114" s="1732" t="s">
        <v>2231</v>
      </c>
      <c r="G114" s="1732" t="s">
        <v>2249</v>
      </c>
      <c r="H114" s="1732" t="s">
        <v>17</v>
      </c>
      <c r="I114" s="1732" t="s">
        <v>2458</v>
      </c>
      <c r="J114" t="s">
        <v>17</v>
      </c>
      <c r="K114" t="s">
        <v>2409</v>
      </c>
      <c r="L114" t="s">
        <v>2459</v>
      </c>
      <c r="M114" t="s">
        <v>2460</v>
      </c>
      <c r="N114" t="s">
        <v>393</v>
      </c>
    </row>
    <row r="115" spans="1:14" ht="11.25" customHeight="1">
      <c r="A115" s="1732" t="s">
        <v>2190</v>
      </c>
      <c r="B115" s="1732" t="s">
        <v>14</v>
      </c>
      <c r="C115" s="1732" t="s">
        <v>2246</v>
      </c>
      <c r="D115" s="1732" t="s">
        <v>2247</v>
      </c>
      <c r="E115" s="1732" t="s">
        <v>2248</v>
      </c>
      <c r="F115" s="1732" t="s">
        <v>2231</v>
      </c>
      <c r="G115" s="1732" t="s">
        <v>2249</v>
      </c>
      <c r="H115" s="1732" t="s">
        <v>17</v>
      </c>
      <c r="I115" s="1732" t="s">
        <v>2458</v>
      </c>
      <c r="J115" t="s">
        <v>17</v>
      </c>
      <c r="K115" t="s">
        <v>2396</v>
      </c>
      <c r="L115" t="s">
        <v>2407</v>
      </c>
      <c r="M115" t="s">
        <v>2408</v>
      </c>
      <c r="N115" t="s">
        <v>393</v>
      </c>
    </row>
    <row r="116" spans="1:14" ht="11.25" customHeight="1">
      <c r="A116" s="1732" t="s">
        <v>2190</v>
      </c>
      <c r="B116" s="1732" t="s">
        <v>14</v>
      </c>
      <c r="C116" s="1732" t="s">
        <v>2246</v>
      </c>
      <c r="D116" s="1732" t="s">
        <v>2247</v>
      </c>
      <c r="E116" s="1732" t="s">
        <v>2248</v>
      </c>
      <c r="F116" s="1732" t="s">
        <v>2231</v>
      </c>
      <c r="G116" s="1732" t="s">
        <v>2249</v>
      </c>
      <c r="H116" s="1732" t="s">
        <v>17</v>
      </c>
      <c r="I116" s="1732" t="s">
        <v>2458</v>
      </c>
      <c r="J116" t="s">
        <v>17</v>
      </c>
      <c r="K116" t="s">
        <v>2409</v>
      </c>
      <c r="L116" t="s">
        <v>2407</v>
      </c>
      <c r="M116" t="s">
        <v>2408</v>
      </c>
      <c r="N116" t="s">
        <v>393</v>
      </c>
    </row>
    <row r="117" spans="1:14" ht="11.25" customHeight="1">
      <c r="A117" s="1732" t="s">
        <v>2190</v>
      </c>
      <c r="B117" s="1732" t="s">
        <v>14</v>
      </c>
      <c r="C117" s="1732" t="s">
        <v>2461</v>
      </c>
      <c r="D117" s="1732" t="s">
        <v>2462</v>
      </c>
      <c r="E117" s="1732" t="s">
        <v>2463</v>
      </c>
      <c r="F117" s="1732" t="s">
        <v>2231</v>
      </c>
      <c r="G117" s="1732" t="s">
        <v>2464</v>
      </c>
      <c r="H117" s="1732" t="s">
        <v>17</v>
      </c>
      <c r="I117" s="1732" t="s">
        <v>2465</v>
      </c>
      <c r="J117" t="s">
        <v>17</v>
      </c>
      <c r="K117" t="s">
        <v>2396</v>
      </c>
      <c r="L117" t="s">
        <v>2407</v>
      </c>
      <c r="M117" t="s">
        <v>2408</v>
      </c>
      <c r="N117" t="s">
        <v>393</v>
      </c>
    </row>
    <row r="118" spans="1:14" ht="11.25" customHeight="1">
      <c r="A118" s="1732" t="s">
        <v>2190</v>
      </c>
      <c r="B118" s="1732" t="s">
        <v>14</v>
      </c>
      <c r="C118" s="1732" t="s">
        <v>2461</v>
      </c>
      <c r="D118" s="1732" t="s">
        <v>2462</v>
      </c>
      <c r="E118" s="1732" t="s">
        <v>2463</v>
      </c>
      <c r="F118" s="1732" t="s">
        <v>2231</v>
      </c>
      <c r="G118" s="1732" t="s">
        <v>2464</v>
      </c>
      <c r="H118" s="1732" t="s">
        <v>17</v>
      </c>
      <c r="I118" s="1732" t="s">
        <v>2465</v>
      </c>
      <c r="J118" t="s">
        <v>17</v>
      </c>
      <c r="K118" t="s">
        <v>2409</v>
      </c>
      <c r="L118" t="s">
        <v>2407</v>
      </c>
      <c r="M118" t="s">
        <v>2408</v>
      </c>
      <c r="N118" t="s">
        <v>393</v>
      </c>
    </row>
    <row r="119" spans="1:14" ht="11.25" customHeight="1">
      <c r="A119" s="1732" t="s">
        <v>2190</v>
      </c>
      <c r="B119" s="1732" t="s">
        <v>14</v>
      </c>
      <c r="C119" s="1732" t="s">
        <v>2466</v>
      </c>
      <c r="D119" s="1732" t="s">
        <v>2467</v>
      </c>
      <c r="E119" s="1732" t="s">
        <v>2468</v>
      </c>
      <c r="F119" s="1732" t="s">
        <v>2241</v>
      </c>
      <c r="G119" s="1732" t="s">
        <v>2469</v>
      </c>
      <c r="H119" s="1732" t="s">
        <v>17</v>
      </c>
      <c r="I119" s="1732" t="s">
        <v>2470</v>
      </c>
      <c r="J119" t="s">
        <v>17</v>
      </c>
      <c r="K119" t="s">
        <v>2396</v>
      </c>
      <c r="L119" t="s">
        <v>2471</v>
      </c>
      <c r="M119" t="s">
        <v>2472</v>
      </c>
      <c r="N119" t="s">
        <v>393</v>
      </c>
    </row>
    <row r="120" spans="1:14" ht="11.25" customHeight="1">
      <c r="A120" s="1732" t="s">
        <v>2190</v>
      </c>
      <c r="B120" s="1732" t="s">
        <v>14</v>
      </c>
      <c r="C120" s="1732" t="s">
        <v>2466</v>
      </c>
      <c r="D120" s="1732" t="s">
        <v>2467</v>
      </c>
      <c r="E120" s="1732" t="s">
        <v>2468</v>
      </c>
      <c r="F120" s="1732" t="s">
        <v>2241</v>
      </c>
      <c r="G120" s="1732" t="s">
        <v>2469</v>
      </c>
      <c r="H120" s="1732" t="s">
        <v>17</v>
      </c>
      <c r="I120" s="1732" t="s">
        <v>2470</v>
      </c>
      <c r="J120" t="s">
        <v>17</v>
      </c>
      <c r="K120" t="s">
        <v>2409</v>
      </c>
      <c r="L120" t="s">
        <v>2471</v>
      </c>
      <c r="M120" t="s">
        <v>2472</v>
      </c>
      <c r="N120" t="s">
        <v>393</v>
      </c>
    </row>
    <row r="121" spans="1:14" ht="11.25" customHeight="1">
      <c r="A121" s="1732" t="s">
        <v>2190</v>
      </c>
      <c r="B121" s="1732" t="s">
        <v>14</v>
      </c>
      <c r="C121" s="1732" t="s">
        <v>2466</v>
      </c>
      <c r="D121" s="1732" t="s">
        <v>2467</v>
      </c>
      <c r="E121" s="1732" t="s">
        <v>2468</v>
      </c>
      <c r="F121" s="1732" t="s">
        <v>2241</v>
      </c>
      <c r="G121" s="1732" t="s">
        <v>2469</v>
      </c>
      <c r="H121" s="1732" t="s">
        <v>17</v>
      </c>
      <c r="I121" s="1732" t="s">
        <v>2473</v>
      </c>
      <c r="J121" t="s">
        <v>17</v>
      </c>
      <c r="K121" t="s">
        <v>2396</v>
      </c>
      <c r="L121" t="s">
        <v>2474</v>
      </c>
      <c r="M121" t="s">
        <v>2475</v>
      </c>
      <c r="N121" t="s">
        <v>393</v>
      </c>
    </row>
    <row r="122" spans="1:14" ht="11.25" customHeight="1">
      <c r="A122" s="1732" t="s">
        <v>2190</v>
      </c>
      <c r="B122" s="1732" t="s">
        <v>14</v>
      </c>
      <c r="C122" s="1732" t="s">
        <v>2476</v>
      </c>
      <c r="D122" s="1732" t="s">
        <v>2477</v>
      </c>
      <c r="E122" s="1732" t="s">
        <v>2478</v>
      </c>
      <c r="F122" s="1732" t="s">
        <v>2263</v>
      </c>
      <c r="G122" s="1732" t="s">
        <v>2479</v>
      </c>
      <c r="H122" s="1732" t="s">
        <v>17</v>
      </c>
      <c r="I122" s="1732" t="s">
        <v>2479</v>
      </c>
      <c r="J122" t="s">
        <v>17</v>
      </c>
      <c r="K122" t="s">
        <v>2396</v>
      </c>
      <c r="L122" t="s">
        <v>2400</v>
      </c>
      <c r="M122" t="s">
        <v>2401</v>
      </c>
      <c r="N122" t="s">
        <v>393</v>
      </c>
    </row>
    <row r="123" spans="1:14" ht="11.25" customHeight="1">
      <c r="A123" s="1732" t="s">
        <v>2190</v>
      </c>
      <c r="B123" s="1732" t="s">
        <v>14</v>
      </c>
      <c r="C123" s="1732" t="s">
        <v>2476</v>
      </c>
      <c r="D123" s="1732" t="s">
        <v>2477</v>
      </c>
      <c r="E123" s="1732" t="s">
        <v>2478</v>
      </c>
      <c r="F123" s="1732" t="s">
        <v>2263</v>
      </c>
      <c r="G123" s="1732" t="s">
        <v>2479</v>
      </c>
      <c r="H123" s="1732" t="s">
        <v>17</v>
      </c>
      <c r="I123" s="1732" t="s">
        <v>2399</v>
      </c>
      <c r="J123" t="s">
        <v>17</v>
      </c>
      <c r="K123" t="s">
        <v>2396</v>
      </c>
      <c r="L123" t="s">
        <v>2400</v>
      </c>
      <c r="M123" t="s">
        <v>2401</v>
      </c>
      <c r="N123" t="s">
        <v>393</v>
      </c>
    </row>
    <row r="124" spans="1:14" ht="11.25" customHeight="1">
      <c r="A124" s="1732" t="s">
        <v>2190</v>
      </c>
      <c r="B124" s="1732" t="s">
        <v>14</v>
      </c>
      <c r="C124" s="1732" t="s">
        <v>2260</v>
      </c>
      <c r="D124" s="1732" t="s">
        <v>2261</v>
      </c>
      <c r="E124" s="1732" t="s">
        <v>2262</v>
      </c>
      <c r="F124" s="1732" t="s">
        <v>2263</v>
      </c>
      <c r="G124" s="1732" t="s">
        <v>2264</v>
      </c>
      <c r="H124" s="1732" t="s">
        <v>17</v>
      </c>
      <c r="I124" s="1732" t="s">
        <v>2264</v>
      </c>
      <c r="J124" t="s">
        <v>17</v>
      </c>
      <c r="K124" t="s">
        <v>2396</v>
      </c>
      <c r="L124" t="s">
        <v>2397</v>
      </c>
      <c r="M124" t="s">
        <v>2398</v>
      </c>
      <c r="N124" t="s">
        <v>393</v>
      </c>
    </row>
    <row r="125" spans="1:14" ht="11.25" customHeight="1">
      <c r="A125" s="1732" t="s">
        <v>2190</v>
      </c>
      <c r="B125" s="1732" t="s">
        <v>14</v>
      </c>
      <c r="C125" s="1732" t="s">
        <v>2265</v>
      </c>
      <c r="D125" s="1732" t="s">
        <v>2266</v>
      </c>
      <c r="E125" s="1732" t="s">
        <v>2267</v>
      </c>
      <c r="F125" s="1732" t="s">
        <v>2194</v>
      </c>
      <c r="G125" s="1732" t="s">
        <v>2268</v>
      </c>
      <c r="H125" s="1732" t="s">
        <v>17</v>
      </c>
      <c r="I125" s="1732" t="s">
        <v>2269</v>
      </c>
      <c r="J125" t="s">
        <v>17</v>
      </c>
      <c r="K125" t="s">
        <v>2396</v>
      </c>
      <c r="L125" t="s">
        <v>2407</v>
      </c>
      <c r="M125" t="s">
        <v>2408</v>
      </c>
      <c r="N125" t="s">
        <v>393</v>
      </c>
    </row>
    <row r="126" spans="1:14" ht="11.25" customHeight="1">
      <c r="A126" s="1732" t="s">
        <v>2190</v>
      </c>
      <c r="B126" s="1732" t="s">
        <v>14</v>
      </c>
      <c r="C126" s="1732" t="s">
        <v>2265</v>
      </c>
      <c r="D126" s="1732" t="s">
        <v>2266</v>
      </c>
      <c r="E126" s="1732" t="s">
        <v>2267</v>
      </c>
      <c r="F126" s="1732" t="s">
        <v>2194</v>
      </c>
      <c r="G126" s="1732" t="s">
        <v>2268</v>
      </c>
      <c r="H126" s="1732" t="s">
        <v>17</v>
      </c>
      <c r="I126" s="1732" t="s">
        <v>2269</v>
      </c>
      <c r="J126" t="s">
        <v>17</v>
      </c>
      <c r="K126" t="s">
        <v>2409</v>
      </c>
      <c r="L126" t="s">
        <v>2407</v>
      </c>
      <c r="M126" t="s">
        <v>2408</v>
      </c>
      <c r="N126" t="s">
        <v>393</v>
      </c>
    </row>
    <row r="127" spans="1:14" ht="11.25" customHeight="1">
      <c r="A127" s="1732" t="s">
        <v>2190</v>
      </c>
      <c r="B127" s="1732" t="s">
        <v>14</v>
      </c>
      <c r="C127" s="1732" t="s">
        <v>2270</v>
      </c>
      <c r="D127" s="1732" t="s">
        <v>2271</v>
      </c>
      <c r="E127" s="1732" t="s">
        <v>2272</v>
      </c>
      <c r="F127" s="1732" t="s">
        <v>2273</v>
      </c>
      <c r="G127" s="1732" t="s">
        <v>2274</v>
      </c>
      <c r="H127" s="1732" t="s">
        <v>17</v>
      </c>
      <c r="I127" s="1732" t="s">
        <v>2480</v>
      </c>
      <c r="J127" t="s">
        <v>17</v>
      </c>
      <c r="K127" t="s">
        <v>2396</v>
      </c>
      <c r="L127" t="s">
        <v>2439</v>
      </c>
      <c r="M127" t="s">
        <v>2440</v>
      </c>
      <c r="N127" t="s">
        <v>393</v>
      </c>
    </row>
    <row r="128" spans="1:14" ht="11.25" customHeight="1">
      <c r="A128" s="1732" t="s">
        <v>2190</v>
      </c>
      <c r="B128" s="1732" t="s">
        <v>14</v>
      </c>
      <c r="C128" s="1732" t="s">
        <v>2270</v>
      </c>
      <c r="D128" s="1732" t="s">
        <v>2271</v>
      </c>
      <c r="E128" s="1732" t="s">
        <v>2272</v>
      </c>
      <c r="F128" s="1732" t="s">
        <v>2273</v>
      </c>
      <c r="G128" s="1732" t="s">
        <v>2274</v>
      </c>
      <c r="H128" s="1732" t="s">
        <v>17</v>
      </c>
      <c r="I128" s="1732" t="s">
        <v>2480</v>
      </c>
      <c r="J128" t="s">
        <v>17</v>
      </c>
      <c r="K128" t="s">
        <v>2409</v>
      </c>
      <c r="L128" t="s">
        <v>2439</v>
      </c>
      <c r="M128" t="s">
        <v>2440</v>
      </c>
      <c r="N128" t="s">
        <v>393</v>
      </c>
    </row>
    <row r="129" spans="1:14" ht="11.25" customHeight="1">
      <c r="A129" s="1732" t="s">
        <v>2190</v>
      </c>
      <c r="B129" s="1732" t="s">
        <v>14</v>
      </c>
      <c r="C129" s="1732" t="s">
        <v>2270</v>
      </c>
      <c r="D129" s="1732" t="s">
        <v>2271</v>
      </c>
      <c r="E129" s="1732" t="s">
        <v>2272</v>
      </c>
      <c r="F129" s="1732" t="s">
        <v>2273</v>
      </c>
      <c r="G129" s="1732" t="s">
        <v>2274</v>
      </c>
      <c r="H129" s="1732" t="s">
        <v>17</v>
      </c>
      <c r="I129" s="1732" t="s">
        <v>2480</v>
      </c>
      <c r="J129" t="s">
        <v>17</v>
      </c>
      <c r="K129" t="s">
        <v>2396</v>
      </c>
      <c r="L129" t="s">
        <v>2407</v>
      </c>
      <c r="M129" t="s">
        <v>2408</v>
      </c>
      <c r="N129" t="s">
        <v>393</v>
      </c>
    </row>
    <row r="130" spans="1:14" ht="11.25" customHeight="1">
      <c r="A130" s="1732" t="s">
        <v>2190</v>
      </c>
      <c r="B130" s="1732" t="s">
        <v>14</v>
      </c>
      <c r="C130" s="1732" t="s">
        <v>2270</v>
      </c>
      <c r="D130" s="1732" t="s">
        <v>2271</v>
      </c>
      <c r="E130" s="1732" t="s">
        <v>2272</v>
      </c>
      <c r="F130" s="1732" t="s">
        <v>2273</v>
      </c>
      <c r="G130" s="1732" t="s">
        <v>2274</v>
      </c>
      <c r="H130" s="1732" t="s">
        <v>17</v>
      </c>
      <c r="I130" s="1732" t="s">
        <v>2480</v>
      </c>
      <c r="J130" t="s">
        <v>17</v>
      </c>
      <c r="K130" t="s">
        <v>2409</v>
      </c>
      <c r="L130" t="s">
        <v>2407</v>
      </c>
      <c r="M130" t="s">
        <v>2408</v>
      </c>
      <c r="N130" t="s">
        <v>393</v>
      </c>
    </row>
    <row r="131" spans="1:14" ht="11.25" customHeight="1">
      <c r="A131" s="1732" t="s">
        <v>2190</v>
      </c>
      <c r="B131" s="1732" t="s">
        <v>14</v>
      </c>
      <c r="C131" s="1732" t="s">
        <v>2481</v>
      </c>
      <c r="D131" s="1732" t="s">
        <v>2482</v>
      </c>
      <c r="E131" s="1732" t="s">
        <v>2483</v>
      </c>
      <c r="F131" s="1732" t="s">
        <v>2231</v>
      </c>
      <c r="G131" s="1732" t="s">
        <v>2484</v>
      </c>
      <c r="H131" s="1732" t="s">
        <v>17</v>
      </c>
      <c r="I131" s="1732" t="s">
        <v>2406</v>
      </c>
      <c r="J131" t="s">
        <v>17</v>
      </c>
      <c r="K131" t="s">
        <v>2396</v>
      </c>
      <c r="L131" t="s">
        <v>2485</v>
      </c>
      <c r="M131" t="s">
        <v>2486</v>
      </c>
      <c r="N131" t="s">
        <v>393</v>
      </c>
    </row>
    <row r="132" spans="1:14" ht="11.25" customHeight="1">
      <c r="A132" s="1732" t="s">
        <v>2190</v>
      </c>
      <c r="B132" s="1732" t="s">
        <v>14</v>
      </c>
      <c r="C132" s="1732" t="s">
        <v>2481</v>
      </c>
      <c r="D132" s="1732" t="s">
        <v>2482</v>
      </c>
      <c r="E132" s="1732" t="s">
        <v>2483</v>
      </c>
      <c r="F132" s="1732" t="s">
        <v>2231</v>
      </c>
      <c r="G132" s="1732" t="s">
        <v>2484</v>
      </c>
      <c r="H132" s="1732" t="s">
        <v>17</v>
      </c>
      <c r="I132" s="1732" t="s">
        <v>2406</v>
      </c>
      <c r="J132" t="s">
        <v>17</v>
      </c>
      <c r="K132" t="s">
        <v>2409</v>
      </c>
      <c r="L132" t="s">
        <v>2485</v>
      </c>
      <c r="M132" t="s">
        <v>2486</v>
      </c>
      <c r="N132" t="s">
        <v>393</v>
      </c>
    </row>
    <row r="133" spans="1:14" ht="11.25" customHeight="1">
      <c r="A133" s="1732" t="s">
        <v>2190</v>
      </c>
      <c r="B133" s="1732" t="s">
        <v>14</v>
      </c>
      <c r="C133" s="1732" t="s">
        <v>2481</v>
      </c>
      <c r="D133" s="1732" t="s">
        <v>2482</v>
      </c>
      <c r="E133" s="1732" t="s">
        <v>2483</v>
      </c>
      <c r="F133" s="1732" t="s">
        <v>2231</v>
      </c>
      <c r="G133" s="1732" t="s">
        <v>2484</v>
      </c>
      <c r="H133" s="1732" t="s">
        <v>17</v>
      </c>
      <c r="I133" s="1732" t="s">
        <v>2487</v>
      </c>
      <c r="J133" t="s">
        <v>17</v>
      </c>
      <c r="K133" t="s">
        <v>2396</v>
      </c>
      <c r="L133" t="s">
        <v>2488</v>
      </c>
      <c r="M133" t="s">
        <v>2489</v>
      </c>
      <c r="N133" t="s">
        <v>393</v>
      </c>
    </row>
    <row r="134" spans="1:14" ht="11.25" customHeight="1">
      <c r="A134" s="1732" t="s">
        <v>2190</v>
      </c>
      <c r="B134" s="1732" t="s">
        <v>14</v>
      </c>
      <c r="C134" s="1732" t="s">
        <v>2481</v>
      </c>
      <c r="D134" s="1732" t="s">
        <v>2482</v>
      </c>
      <c r="E134" s="1732" t="s">
        <v>2483</v>
      </c>
      <c r="F134" s="1732" t="s">
        <v>2231</v>
      </c>
      <c r="G134" s="1732" t="s">
        <v>2484</v>
      </c>
      <c r="H134" s="1732" t="s">
        <v>17</v>
      </c>
      <c r="I134" s="1732" t="s">
        <v>2490</v>
      </c>
      <c r="J134" t="s">
        <v>17</v>
      </c>
      <c r="K134" t="s">
        <v>2396</v>
      </c>
      <c r="L134" t="s">
        <v>2407</v>
      </c>
      <c r="M134" t="s">
        <v>2408</v>
      </c>
      <c r="N134" t="s">
        <v>393</v>
      </c>
    </row>
    <row r="135" spans="1:14" ht="11.25" customHeight="1">
      <c r="A135" s="1732" t="s">
        <v>2190</v>
      </c>
      <c r="B135" s="1732" t="s">
        <v>14</v>
      </c>
      <c r="C135" s="1732" t="s">
        <v>2481</v>
      </c>
      <c r="D135" s="1732" t="s">
        <v>2482</v>
      </c>
      <c r="E135" s="1732" t="s">
        <v>2483</v>
      </c>
      <c r="F135" s="1732" t="s">
        <v>2231</v>
      </c>
      <c r="G135" s="1732" t="s">
        <v>2484</v>
      </c>
      <c r="H135" s="1732" t="s">
        <v>17</v>
      </c>
      <c r="I135" s="1732" t="s">
        <v>2490</v>
      </c>
      <c r="J135" t="s">
        <v>17</v>
      </c>
      <c r="K135" t="s">
        <v>2409</v>
      </c>
      <c r="L135" t="s">
        <v>2407</v>
      </c>
      <c r="M135" t="s">
        <v>2408</v>
      </c>
      <c r="N135" t="s">
        <v>393</v>
      </c>
    </row>
    <row r="136" spans="1:14" ht="11.25" customHeight="1">
      <c r="A136" s="1732" t="s">
        <v>2190</v>
      </c>
      <c r="B136" s="1732" t="s">
        <v>14</v>
      </c>
      <c r="C136" s="1732" t="s">
        <v>2491</v>
      </c>
      <c r="D136" s="1732" t="s">
        <v>2492</v>
      </c>
      <c r="E136" s="1732" t="s">
        <v>2493</v>
      </c>
      <c r="F136" s="1732" t="s">
        <v>2263</v>
      </c>
      <c r="G136" s="1732" t="s">
        <v>2494</v>
      </c>
      <c r="H136" s="1732" t="s">
        <v>17</v>
      </c>
      <c r="I136" s="1732" t="s">
        <v>2494</v>
      </c>
      <c r="J136" t="s">
        <v>17</v>
      </c>
      <c r="K136" t="s">
        <v>2396</v>
      </c>
      <c r="L136" t="s">
        <v>2397</v>
      </c>
      <c r="M136" t="s">
        <v>2398</v>
      </c>
      <c r="N136" t="s">
        <v>393</v>
      </c>
    </row>
    <row r="137" spans="1:14" ht="11.25" customHeight="1">
      <c r="A137" s="1732" t="s">
        <v>2190</v>
      </c>
      <c r="B137" s="1732" t="s">
        <v>14</v>
      </c>
      <c r="C137" s="1732" t="s">
        <v>2495</v>
      </c>
      <c r="D137" s="1732" t="s">
        <v>2496</v>
      </c>
      <c r="E137" s="1732" t="s">
        <v>2497</v>
      </c>
      <c r="F137" s="1732" t="s">
        <v>2498</v>
      </c>
      <c r="G137" s="1732" t="s">
        <v>2499</v>
      </c>
      <c r="H137" s="1732" t="s">
        <v>17</v>
      </c>
      <c r="I137" s="1732" t="s">
        <v>2500</v>
      </c>
      <c r="J137" t="s">
        <v>17</v>
      </c>
      <c r="K137" t="s">
        <v>2396</v>
      </c>
      <c r="L137" t="s">
        <v>2407</v>
      </c>
      <c r="M137" t="s">
        <v>2408</v>
      </c>
      <c r="N137" t="s">
        <v>393</v>
      </c>
    </row>
    <row r="138" spans="1:14" ht="11.25" customHeight="1">
      <c r="A138" s="1732" t="s">
        <v>2190</v>
      </c>
      <c r="B138" s="1732" t="s">
        <v>14</v>
      </c>
      <c r="C138" s="1732" t="s">
        <v>2495</v>
      </c>
      <c r="D138" s="1732" t="s">
        <v>2496</v>
      </c>
      <c r="E138" s="1732" t="s">
        <v>2497</v>
      </c>
      <c r="F138" s="1732" t="s">
        <v>2498</v>
      </c>
      <c r="G138" s="1732" t="s">
        <v>2499</v>
      </c>
      <c r="H138" s="1732" t="s">
        <v>17</v>
      </c>
      <c r="I138" s="1732" t="s">
        <v>2500</v>
      </c>
      <c r="J138" t="s">
        <v>17</v>
      </c>
      <c r="K138" t="s">
        <v>2409</v>
      </c>
      <c r="L138" t="s">
        <v>2407</v>
      </c>
      <c r="M138" t="s">
        <v>2408</v>
      </c>
      <c r="N138" t="s">
        <v>393</v>
      </c>
    </row>
    <row r="139" spans="1:14" ht="11.25" customHeight="1">
      <c r="A139" s="1732" t="s">
        <v>2190</v>
      </c>
      <c r="B139" s="1732" t="s">
        <v>14</v>
      </c>
      <c r="C139" s="1732" t="s">
        <v>2495</v>
      </c>
      <c r="D139" s="1732" t="s">
        <v>2496</v>
      </c>
      <c r="E139" s="1732" t="s">
        <v>2497</v>
      </c>
      <c r="F139" s="1732" t="s">
        <v>2498</v>
      </c>
      <c r="G139" s="1732" t="s">
        <v>2499</v>
      </c>
      <c r="H139" s="1732" t="s">
        <v>17</v>
      </c>
      <c r="I139" s="1732" t="s">
        <v>2501</v>
      </c>
      <c r="J139" t="s">
        <v>17</v>
      </c>
      <c r="K139" t="s">
        <v>2396</v>
      </c>
      <c r="L139" t="s">
        <v>2439</v>
      </c>
      <c r="M139" t="s">
        <v>2440</v>
      </c>
      <c r="N139" t="s">
        <v>393</v>
      </c>
    </row>
    <row r="140" spans="1:14" ht="11.25" customHeight="1">
      <c r="A140" s="1732" t="s">
        <v>2190</v>
      </c>
      <c r="B140" s="1732" t="s">
        <v>14</v>
      </c>
      <c r="C140" s="1732" t="s">
        <v>2495</v>
      </c>
      <c r="D140" s="1732" t="s">
        <v>2496</v>
      </c>
      <c r="E140" s="1732" t="s">
        <v>2497</v>
      </c>
      <c r="F140" s="1732" t="s">
        <v>2498</v>
      </c>
      <c r="G140" s="1732" t="s">
        <v>2499</v>
      </c>
      <c r="H140" s="1732" t="s">
        <v>17</v>
      </c>
      <c r="I140" s="1732" t="s">
        <v>2501</v>
      </c>
      <c r="J140" t="s">
        <v>17</v>
      </c>
      <c r="K140" t="s">
        <v>2409</v>
      </c>
      <c r="L140" t="s">
        <v>2439</v>
      </c>
      <c r="M140" t="s">
        <v>2440</v>
      </c>
      <c r="N140" t="s">
        <v>393</v>
      </c>
    </row>
    <row r="141" spans="1:14" ht="11.25" customHeight="1">
      <c r="A141" s="1732" t="s">
        <v>2190</v>
      </c>
      <c r="B141" s="1732" t="s">
        <v>14</v>
      </c>
      <c r="C141" s="1732" t="s">
        <v>2495</v>
      </c>
      <c r="D141" s="1732" t="s">
        <v>2496</v>
      </c>
      <c r="E141" s="1732" t="s">
        <v>2497</v>
      </c>
      <c r="F141" s="1732" t="s">
        <v>2498</v>
      </c>
      <c r="G141" s="1732" t="s">
        <v>2499</v>
      </c>
      <c r="H141" s="1732" t="s">
        <v>17</v>
      </c>
      <c r="I141" s="1732" t="s">
        <v>2490</v>
      </c>
      <c r="J141" t="s">
        <v>17</v>
      </c>
      <c r="K141" t="s">
        <v>2396</v>
      </c>
      <c r="L141" t="s">
        <v>2502</v>
      </c>
      <c r="M141" t="s">
        <v>2503</v>
      </c>
      <c r="N141" t="s">
        <v>393</v>
      </c>
    </row>
    <row r="142" spans="1:14" ht="11.25" customHeight="1">
      <c r="A142" s="1732" t="s">
        <v>2190</v>
      </c>
      <c r="B142" s="1732" t="s">
        <v>14</v>
      </c>
      <c r="C142" s="1732" t="s">
        <v>2504</v>
      </c>
      <c r="D142" s="1732" t="s">
        <v>2505</v>
      </c>
      <c r="E142" s="1732" t="s">
        <v>2506</v>
      </c>
      <c r="F142" s="1732" t="s">
        <v>2273</v>
      </c>
      <c r="G142" s="1732" t="s">
        <v>2507</v>
      </c>
      <c r="H142" s="1732" t="s">
        <v>17</v>
      </c>
      <c r="I142" s="1732" t="s">
        <v>2508</v>
      </c>
      <c r="J142" t="s">
        <v>2509</v>
      </c>
      <c r="K142" t="s">
        <v>2396</v>
      </c>
      <c r="L142" t="s">
        <v>2407</v>
      </c>
      <c r="M142" t="s">
        <v>2408</v>
      </c>
      <c r="N142" t="s">
        <v>393</v>
      </c>
    </row>
    <row r="143" spans="1:14" ht="11.25" customHeight="1">
      <c r="A143" s="1732" t="s">
        <v>2190</v>
      </c>
      <c r="B143" s="1732" t="s">
        <v>14</v>
      </c>
      <c r="C143" s="1732" t="s">
        <v>2504</v>
      </c>
      <c r="D143" s="1732" t="s">
        <v>2505</v>
      </c>
      <c r="E143" s="1732" t="s">
        <v>2506</v>
      </c>
      <c r="F143" s="1732" t="s">
        <v>2273</v>
      </c>
      <c r="G143" s="1732" t="s">
        <v>2507</v>
      </c>
      <c r="H143" s="1732" t="s">
        <v>17</v>
      </c>
      <c r="I143" s="1732" t="s">
        <v>2508</v>
      </c>
      <c r="J143" t="s">
        <v>2509</v>
      </c>
      <c r="K143" t="s">
        <v>2409</v>
      </c>
      <c r="L143" t="s">
        <v>2407</v>
      </c>
      <c r="M143" t="s">
        <v>2408</v>
      </c>
      <c r="N143" t="s">
        <v>393</v>
      </c>
    </row>
    <row r="144" spans="1:14" ht="11.25" customHeight="1">
      <c r="A144" s="1732" t="s">
        <v>2190</v>
      </c>
      <c r="B144" s="1732" t="s">
        <v>14</v>
      </c>
      <c r="C144" s="1732" t="s">
        <v>2504</v>
      </c>
      <c r="D144" s="1732" t="s">
        <v>2505</v>
      </c>
      <c r="E144" s="1732" t="s">
        <v>2506</v>
      </c>
      <c r="F144" s="1732" t="s">
        <v>2273</v>
      </c>
      <c r="G144" s="1732" t="s">
        <v>2507</v>
      </c>
      <c r="H144" s="1732" t="s">
        <v>17</v>
      </c>
      <c r="I144" s="1732" t="s">
        <v>2510</v>
      </c>
      <c r="J144" t="s">
        <v>17</v>
      </c>
      <c r="K144" t="s">
        <v>2396</v>
      </c>
      <c r="L144" t="s">
        <v>2407</v>
      </c>
      <c r="M144" t="s">
        <v>2408</v>
      </c>
      <c r="N144" t="s">
        <v>393</v>
      </c>
    </row>
    <row r="145" spans="1:14" ht="11.25" customHeight="1">
      <c r="A145" s="1732" t="s">
        <v>2190</v>
      </c>
      <c r="B145" s="1732" t="s">
        <v>14</v>
      </c>
      <c r="C145" s="1732" t="s">
        <v>2504</v>
      </c>
      <c r="D145" s="1732" t="s">
        <v>2505</v>
      </c>
      <c r="E145" s="1732" t="s">
        <v>2506</v>
      </c>
      <c r="F145" s="1732" t="s">
        <v>2273</v>
      </c>
      <c r="G145" s="1732" t="s">
        <v>2507</v>
      </c>
      <c r="H145" s="1732" t="s">
        <v>17</v>
      </c>
      <c r="I145" s="1732" t="s">
        <v>2510</v>
      </c>
      <c r="J145" t="s">
        <v>17</v>
      </c>
      <c r="K145" t="s">
        <v>2409</v>
      </c>
      <c r="L145" t="s">
        <v>2407</v>
      </c>
      <c r="M145" t="s">
        <v>2408</v>
      </c>
      <c r="N145" t="s">
        <v>393</v>
      </c>
    </row>
    <row r="146" spans="1:14" ht="11.25" customHeight="1">
      <c r="A146" s="1732" t="s">
        <v>2190</v>
      </c>
      <c r="B146" s="1732" t="s">
        <v>14</v>
      </c>
      <c r="C146" s="1732" t="s">
        <v>2511</v>
      </c>
      <c r="D146" s="1732" t="s">
        <v>2512</v>
      </c>
      <c r="E146" s="1732" t="s">
        <v>2513</v>
      </c>
      <c r="F146" s="1732" t="s">
        <v>2194</v>
      </c>
      <c r="G146" s="1732" t="s">
        <v>2514</v>
      </c>
      <c r="H146" s="1732" t="s">
        <v>17</v>
      </c>
      <c r="I146" s="1732" t="s">
        <v>2269</v>
      </c>
      <c r="J146" t="s">
        <v>17</v>
      </c>
      <c r="K146" t="s">
        <v>2396</v>
      </c>
      <c r="L146" t="s">
        <v>2407</v>
      </c>
      <c r="M146" t="s">
        <v>2408</v>
      </c>
      <c r="N146" t="s">
        <v>393</v>
      </c>
    </row>
    <row r="147" spans="1:14" ht="11.25" customHeight="1">
      <c r="A147" s="1732" t="s">
        <v>2190</v>
      </c>
      <c r="B147" s="1732" t="s">
        <v>14</v>
      </c>
      <c r="C147" s="1732" t="s">
        <v>2511</v>
      </c>
      <c r="D147" s="1732" t="s">
        <v>2512</v>
      </c>
      <c r="E147" s="1732" t="s">
        <v>2513</v>
      </c>
      <c r="F147" s="1732" t="s">
        <v>2194</v>
      </c>
      <c r="G147" s="1732" t="s">
        <v>2514</v>
      </c>
      <c r="H147" s="1732" t="s">
        <v>17</v>
      </c>
      <c r="I147" s="1732" t="s">
        <v>2269</v>
      </c>
      <c r="J147" t="s">
        <v>17</v>
      </c>
      <c r="K147" t="s">
        <v>2409</v>
      </c>
      <c r="L147" t="s">
        <v>2407</v>
      </c>
      <c r="M147" t="s">
        <v>2408</v>
      </c>
      <c r="N147" t="s">
        <v>393</v>
      </c>
    </row>
    <row r="148" spans="1:14" ht="11.25" customHeight="1">
      <c r="A148" s="1732" t="s">
        <v>2190</v>
      </c>
      <c r="B148" s="1732" t="s">
        <v>14</v>
      </c>
      <c r="C148" s="1732" t="s">
        <v>2515</v>
      </c>
      <c r="D148" s="1732" t="s">
        <v>2516</v>
      </c>
      <c r="E148" s="1732" t="s">
        <v>2517</v>
      </c>
      <c r="F148" s="1732" t="s">
        <v>2518</v>
      </c>
      <c r="G148" s="1732" t="s">
        <v>2519</v>
      </c>
      <c r="H148" s="1732" t="s">
        <v>17</v>
      </c>
      <c r="I148" s="1732" t="s">
        <v>2519</v>
      </c>
      <c r="J148" t="s">
        <v>17</v>
      </c>
      <c r="K148" t="s">
        <v>2396</v>
      </c>
      <c r="L148" t="s">
        <v>2439</v>
      </c>
      <c r="M148" t="s">
        <v>2440</v>
      </c>
      <c r="N148" t="s">
        <v>393</v>
      </c>
    </row>
    <row r="149" spans="1:14" ht="11.25" customHeight="1">
      <c r="A149" s="1732" t="s">
        <v>2190</v>
      </c>
      <c r="B149" s="1732" t="s">
        <v>14</v>
      </c>
      <c r="C149" s="1732" t="s">
        <v>2515</v>
      </c>
      <c r="D149" s="1732" t="s">
        <v>2516</v>
      </c>
      <c r="E149" s="1732" t="s">
        <v>2517</v>
      </c>
      <c r="F149" s="1732" t="s">
        <v>2518</v>
      </c>
      <c r="G149" s="1732" t="s">
        <v>2519</v>
      </c>
      <c r="H149" s="1732" t="s">
        <v>17</v>
      </c>
      <c r="I149" s="1732" t="s">
        <v>2519</v>
      </c>
      <c r="J149" t="s">
        <v>17</v>
      </c>
      <c r="K149" t="s">
        <v>2409</v>
      </c>
      <c r="L149" t="s">
        <v>2439</v>
      </c>
      <c r="M149" t="s">
        <v>2440</v>
      </c>
      <c r="N149" t="s">
        <v>393</v>
      </c>
    </row>
    <row r="150" spans="1:14" ht="11.25" customHeight="1">
      <c r="A150" s="1732" t="s">
        <v>2190</v>
      </c>
      <c r="B150" s="1732" t="s">
        <v>14</v>
      </c>
      <c r="C150" s="1732" t="s">
        <v>2515</v>
      </c>
      <c r="D150" s="1732" t="s">
        <v>2516</v>
      </c>
      <c r="E150" s="1732" t="s">
        <v>2517</v>
      </c>
      <c r="F150" s="1732" t="s">
        <v>2518</v>
      </c>
      <c r="G150" s="1732" t="s">
        <v>2519</v>
      </c>
      <c r="H150" s="1732" t="s">
        <v>17</v>
      </c>
      <c r="I150" s="1732" t="s">
        <v>2520</v>
      </c>
      <c r="J150" t="s">
        <v>17</v>
      </c>
      <c r="K150" t="s">
        <v>2396</v>
      </c>
      <c r="L150" t="s">
        <v>2400</v>
      </c>
      <c r="M150" t="s">
        <v>2420</v>
      </c>
      <c r="N150" t="s">
        <v>393</v>
      </c>
    </row>
    <row r="151" spans="1:14" ht="11.25" customHeight="1">
      <c r="A151" s="1732" t="s">
        <v>2190</v>
      </c>
      <c r="B151" s="1732" t="s">
        <v>14</v>
      </c>
      <c r="C151" s="1732" t="s">
        <v>2515</v>
      </c>
      <c r="D151" s="1732" t="s">
        <v>2516</v>
      </c>
      <c r="E151" s="1732" t="s">
        <v>2517</v>
      </c>
      <c r="F151" s="1732" t="s">
        <v>2518</v>
      </c>
      <c r="G151" s="1732" t="s">
        <v>2519</v>
      </c>
      <c r="H151" s="1732" t="s">
        <v>17</v>
      </c>
      <c r="I151" s="1732" t="s">
        <v>2520</v>
      </c>
      <c r="J151" t="s">
        <v>17</v>
      </c>
      <c r="K151" t="s">
        <v>2409</v>
      </c>
      <c r="L151" t="s">
        <v>2400</v>
      </c>
      <c r="M151" t="s">
        <v>2420</v>
      </c>
      <c r="N151" t="s">
        <v>393</v>
      </c>
    </row>
    <row r="152" spans="1:14" ht="11.25" customHeight="1">
      <c r="A152" s="1732" t="s">
        <v>2190</v>
      </c>
      <c r="B152" s="1732" t="s">
        <v>14</v>
      </c>
      <c r="C152" s="1732" t="s">
        <v>2515</v>
      </c>
      <c r="D152" s="1732" t="s">
        <v>2516</v>
      </c>
      <c r="E152" s="1732" t="s">
        <v>2517</v>
      </c>
      <c r="F152" s="1732" t="s">
        <v>2518</v>
      </c>
      <c r="G152" s="1732" t="s">
        <v>2519</v>
      </c>
      <c r="H152" s="1732" t="s">
        <v>17</v>
      </c>
      <c r="I152" s="1732" t="s">
        <v>2521</v>
      </c>
      <c r="J152" t="s">
        <v>17</v>
      </c>
      <c r="K152" t="s">
        <v>2396</v>
      </c>
      <c r="L152" t="s">
        <v>2422</v>
      </c>
      <c r="M152" t="s">
        <v>2423</v>
      </c>
      <c r="N152" t="s">
        <v>393</v>
      </c>
    </row>
    <row r="153" spans="1:14" ht="11.25" customHeight="1">
      <c r="A153" s="1732" t="s">
        <v>2190</v>
      </c>
      <c r="B153" s="1732" t="s">
        <v>14</v>
      </c>
      <c r="C153" s="1732" t="s">
        <v>2280</v>
      </c>
      <c r="D153" s="1732" t="s">
        <v>2281</v>
      </c>
      <c r="E153" s="1732" t="s">
        <v>2282</v>
      </c>
      <c r="F153" s="1732" t="s">
        <v>2194</v>
      </c>
      <c r="G153" s="1732" t="s">
        <v>2283</v>
      </c>
      <c r="H153" s="1732" t="s">
        <v>17</v>
      </c>
      <c r="I153" s="1732" t="s">
        <v>2522</v>
      </c>
      <c r="J153" t="s">
        <v>17</v>
      </c>
      <c r="K153" t="s">
        <v>2396</v>
      </c>
      <c r="L153" t="s">
        <v>2439</v>
      </c>
      <c r="M153" t="s">
        <v>2440</v>
      </c>
      <c r="N153" t="s">
        <v>393</v>
      </c>
    </row>
    <row r="154" spans="1:14" ht="11.25" customHeight="1">
      <c r="A154" s="1732" t="s">
        <v>2190</v>
      </c>
      <c r="B154" s="1732" t="s">
        <v>14</v>
      </c>
      <c r="C154" s="1732" t="s">
        <v>2280</v>
      </c>
      <c r="D154" s="1732" t="s">
        <v>2281</v>
      </c>
      <c r="E154" s="1732" t="s">
        <v>2282</v>
      </c>
      <c r="F154" s="1732" t="s">
        <v>2194</v>
      </c>
      <c r="G154" s="1732" t="s">
        <v>2283</v>
      </c>
      <c r="H154" s="1732" t="s">
        <v>17</v>
      </c>
      <c r="I154" s="1732" t="s">
        <v>2522</v>
      </c>
      <c r="J154" t="s">
        <v>17</v>
      </c>
      <c r="K154" t="s">
        <v>2409</v>
      </c>
      <c r="L154" t="s">
        <v>2439</v>
      </c>
      <c r="M154" t="s">
        <v>2440</v>
      </c>
      <c r="N154" t="s">
        <v>393</v>
      </c>
    </row>
    <row r="155" spans="1:14" ht="11.25" customHeight="1">
      <c r="A155" s="1732" t="s">
        <v>2190</v>
      </c>
      <c r="B155" s="1732" t="s">
        <v>14</v>
      </c>
      <c r="C155" s="1732" t="s">
        <v>2523</v>
      </c>
      <c r="D155" s="1732" t="s">
        <v>2524</v>
      </c>
      <c r="E155" s="1732" t="s">
        <v>2525</v>
      </c>
      <c r="F155" s="1732" t="s">
        <v>2231</v>
      </c>
      <c r="G155" s="1732" t="s">
        <v>2526</v>
      </c>
      <c r="H155" s="1732" t="s">
        <v>17</v>
      </c>
      <c r="I155" s="1732" t="s">
        <v>2527</v>
      </c>
      <c r="J155" t="s">
        <v>17</v>
      </c>
      <c r="K155" t="s">
        <v>2396</v>
      </c>
      <c r="L155" t="s">
        <v>2407</v>
      </c>
      <c r="M155" t="s">
        <v>2408</v>
      </c>
      <c r="N155" t="s">
        <v>393</v>
      </c>
    </row>
    <row r="156" spans="1:14" ht="11.25" customHeight="1">
      <c r="A156" s="1732" t="s">
        <v>2190</v>
      </c>
      <c r="B156" s="1732" t="s">
        <v>14</v>
      </c>
      <c r="C156" s="1732" t="s">
        <v>2523</v>
      </c>
      <c r="D156" s="1732" t="s">
        <v>2524</v>
      </c>
      <c r="E156" s="1732" t="s">
        <v>2525</v>
      </c>
      <c r="F156" s="1732" t="s">
        <v>2231</v>
      </c>
      <c r="G156" s="1732" t="s">
        <v>2526</v>
      </c>
      <c r="H156" s="1732" t="s">
        <v>17</v>
      </c>
      <c r="I156" s="1732" t="s">
        <v>2527</v>
      </c>
      <c r="J156" t="s">
        <v>17</v>
      </c>
      <c r="K156" t="s">
        <v>2409</v>
      </c>
      <c r="L156" t="s">
        <v>2407</v>
      </c>
      <c r="M156" t="s">
        <v>2408</v>
      </c>
      <c r="N156" t="s">
        <v>393</v>
      </c>
    </row>
    <row r="157" spans="1:14" ht="11.25" customHeight="1">
      <c r="A157" s="1732" t="s">
        <v>2190</v>
      </c>
      <c r="B157" s="1732" t="s">
        <v>14</v>
      </c>
      <c r="C157" s="1732" t="s">
        <v>2290</v>
      </c>
      <c r="D157" s="1732" t="s">
        <v>2291</v>
      </c>
      <c r="E157" s="1732" t="s">
        <v>2292</v>
      </c>
      <c r="F157" s="1732" t="s">
        <v>2231</v>
      </c>
      <c r="G157" s="1732" t="s">
        <v>17</v>
      </c>
      <c r="H157" s="1732" t="s">
        <v>17</v>
      </c>
      <c r="I157" s="1732" t="s">
        <v>2528</v>
      </c>
      <c r="J157" t="s">
        <v>17</v>
      </c>
      <c r="K157" t="s">
        <v>2396</v>
      </c>
      <c r="L157" t="s">
        <v>2422</v>
      </c>
      <c r="M157" t="s">
        <v>2423</v>
      </c>
      <c r="N157" t="s">
        <v>393</v>
      </c>
    </row>
    <row r="158" spans="1:14" ht="11.25" customHeight="1">
      <c r="A158" s="1732" t="s">
        <v>2190</v>
      </c>
      <c r="B158" s="1732" t="s">
        <v>14</v>
      </c>
      <c r="C158" s="1732" t="s">
        <v>2290</v>
      </c>
      <c r="D158" s="1732" t="s">
        <v>2291</v>
      </c>
      <c r="E158" s="1732" t="s">
        <v>2292</v>
      </c>
      <c r="F158" s="1732" t="s">
        <v>2231</v>
      </c>
      <c r="G158" s="1732" t="s">
        <v>17</v>
      </c>
      <c r="H158" s="1732" t="s">
        <v>17</v>
      </c>
      <c r="I158" s="1732" t="s">
        <v>2528</v>
      </c>
      <c r="J158" t="s">
        <v>17</v>
      </c>
      <c r="K158" t="s">
        <v>2396</v>
      </c>
      <c r="L158" t="s">
        <v>2529</v>
      </c>
      <c r="M158" t="s">
        <v>2530</v>
      </c>
      <c r="N158" t="s">
        <v>393</v>
      </c>
    </row>
    <row r="159" spans="1:14" ht="11.25" customHeight="1">
      <c r="A159" s="1732" t="s">
        <v>2190</v>
      </c>
      <c r="B159" s="1732" t="s">
        <v>14</v>
      </c>
      <c r="C159" s="1732" t="s">
        <v>2290</v>
      </c>
      <c r="D159" s="1732" t="s">
        <v>2291</v>
      </c>
      <c r="E159" s="1732" t="s">
        <v>2292</v>
      </c>
      <c r="F159" s="1732" t="s">
        <v>2231</v>
      </c>
      <c r="G159" s="1732" t="s">
        <v>17</v>
      </c>
      <c r="H159" s="1732" t="s">
        <v>17</v>
      </c>
      <c r="I159" s="1732" t="s">
        <v>2528</v>
      </c>
      <c r="J159" t="s">
        <v>17</v>
      </c>
      <c r="K159" t="s">
        <v>2409</v>
      </c>
      <c r="L159" t="s">
        <v>2529</v>
      </c>
      <c r="M159" t="s">
        <v>2530</v>
      </c>
      <c r="N159" t="s">
        <v>393</v>
      </c>
    </row>
    <row r="160" spans="1:14" ht="11.25" customHeight="1">
      <c r="A160" s="1732" t="s">
        <v>2190</v>
      </c>
      <c r="B160" s="1732" t="s">
        <v>14</v>
      </c>
      <c r="C160" s="1732" t="s">
        <v>2294</v>
      </c>
      <c r="D160" s="1732" t="s">
        <v>2295</v>
      </c>
      <c r="E160" s="1732" t="s">
        <v>2296</v>
      </c>
      <c r="F160" s="1732" t="s">
        <v>2297</v>
      </c>
      <c r="G160" s="1732" t="s">
        <v>2298</v>
      </c>
      <c r="H160" s="1732" t="s">
        <v>17</v>
      </c>
      <c r="I160" s="1732" t="s">
        <v>2298</v>
      </c>
      <c r="J160" t="s">
        <v>17</v>
      </c>
      <c r="K160" t="s">
        <v>2396</v>
      </c>
      <c r="L160" t="s">
        <v>2397</v>
      </c>
      <c r="M160" t="s">
        <v>2398</v>
      </c>
      <c r="N160" t="s">
        <v>393</v>
      </c>
    </row>
    <row r="161" spans="1:14" ht="11.25" customHeight="1">
      <c r="A161" s="1732" t="s">
        <v>2190</v>
      </c>
      <c r="B161" s="1732" t="s">
        <v>14</v>
      </c>
      <c r="C161" s="1732" t="s">
        <v>2294</v>
      </c>
      <c r="D161" s="1732" t="s">
        <v>2295</v>
      </c>
      <c r="E161" s="1732" t="s">
        <v>2296</v>
      </c>
      <c r="F161" s="1732" t="s">
        <v>2297</v>
      </c>
      <c r="G161" s="1732" t="s">
        <v>2298</v>
      </c>
      <c r="H161" s="1732" t="s">
        <v>17</v>
      </c>
      <c r="I161" s="1732" t="s">
        <v>2531</v>
      </c>
      <c r="J161" t="s">
        <v>17</v>
      </c>
      <c r="K161" t="s">
        <v>2396</v>
      </c>
      <c r="L161" t="s">
        <v>2422</v>
      </c>
      <c r="M161" t="s">
        <v>2423</v>
      </c>
      <c r="N161" t="s">
        <v>393</v>
      </c>
    </row>
    <row r="162" spans="1:14" ht="11.25" customHeight="1">
      <c r="A162" s="1732" t="s">
        <v>2190</v>
      </c>
      <c r="B162" s="1732" t="s">
        <v>14</v>
      </c>
      <c r="C162" s="1732" t="s">
        <v>2294</v>
      </c>
      <c r="D162" s="1732" t="s">
        <v>2295</v>
      </c>
      <c r="E162" s="1732" t="s">
        <v>2296</v>
      </c>
      <c r="F162" s="1732" t="s">
        <v>2297</v>
      </c>
      <c r="G162" s="1732" t="s">
        <v>2298</v>
      </c>
      <c r="H162" s="1732" t="s">
        <v>17</v>
      </c>
      <c r="I162" s="1732" t="s">
        <v>2531</v>
      </c>
      <c r="J162" t="s">
        <v>17</v>
      </c>
      <c r="K162" t="s">
        <v>2396</v>
      </c>
      <c r="L162" t="s">
        <v>2400</v>
      </c>
      <c r="M162" t="s">
        <v>2434</v>
      </c>
      <c r="N162" t="s">
        <v>393</v>
      </c>
    </row>
    <row r="163" spans="1:14" ht="11.25" customHeight="1">
      <c r="A163" s="1732" t="s">
        <v>2190</v>
      </c>
      <c r="B163" s="1732" t="s">
        <v>14</v>
      </c>
      <c r="C163" s="1732" t="s">
        <v>2294</v>
      </c>
      <c r="D163" s="1732" t="s">
        <v>2295</v>
      </c>
      <c r="E163" s="1732" t="s">
        <v>2296</v>
      </c>
      <c r="F163" s="1732" t="s">
        <v>2297</v>
      </c>
      <c r="G163" s="1732" t="s">
        <v>2298</v>
      </c>
      <c r="H163" s="1732" t="s">
        <v>17</v>
      </c>
      <c r="I163" s="1732" t="s">
        <v>2531</v>
      </c>
      <c r="J163" t="s">
        <v>17</v>
      </c>
      <c r="K163" t="s">
        <v>2409</v>
      </c>
      <c r="L163" t="s">
        <v>2400</v>
      </c>
      <c r="M163" t="s">
        <v>2434</v>
      </c>
      <c r="N163" t="s">
        <v>393</v>
      </c>
    </row>
    <row r="164" spans="1:14" ht="11.25" customHeight="1">
      <c r="A164" s="1732" t="s">
        <v>2190</v>
      </c>
      <c r="B164" s="1732" t="s">
        <v>14</v>
      </c>
      <c r="C164" s="1732" t="s">
        <v>2294</v>
      </c>
      <c r="D164" s="1732" t="s">
        <v>2295</v>
      </c>
      <c r="E164" s="1732" t="s">
        <v>2296</v>
      </c>
      <c r="F164" s="1732" t="s">
        <v>2297</v>
      </c>
      <c r="G164" s="1732" t="s">
        <v>2298</v>
      </c>
      <c r="H164" s="1732" t="s">
        <v>17</v>
      </c>
      <c r="I164" s="1732" t="s">
        <v>2532</v>
      </c>
      <c r="J164" t="s">
        <v>17</v>
      </c>
      <c r="K164" t="s">
        <v>2396</v>
      </c>
      <c r="L164" t="s">
        <v>2422</v>
      </c>
      <c r="M164" t="s">
        <v>2533</v>
      </c>
      <c r="N164" t="s">
        <v>393</v>
      </c>
    </row>
    <row r="165" spans="1:14" ht="11.25" customHeight="1">
      <c r="A165" s="1732" t="s">
        <v>2190</v>
      </c>
      <c r="B165" s="1732" t="s">
        <v>14</v>
      </c>
      <c r="C165" s="1732" t="s">
        <v>2534</v>
      </c>
      <c r="D165" s="1732" t="s">
        <v>2535</v>
      </c>
      <c r="E165" s="1732" t="s">
        <v>2536</v>
      </c>
      <c r="F165" s="1732" t="s">
        <v>2241</v>
      </c>
      <c r="G165" s="1732" t="s">
        <v>17</v>
      </c>
      <c r="H165" s="1732" t="s">
        <v>17</v>
      </c>
      <c r="I165" s="1732" t="s">
        <v>2527</v>
      </c>
      <c r="J165" t="s">
        <v>17</v>
      </c>
      <c r="K165" t="s">
        <v>2409</v>
      </c>
      <c r="L165" t="s">
        <v>2488</v>
      </c>
      <c r="M165" t="s">
        <v>2537</v>
      </c>
      <c r="N165" t="s">
        <v>393</v>
      </c>
    </row>
    <row r="166" spans="1:14" ht="11.25" customHeight="1">
      <c r="A166" s="1732" t="s">
        <v>2190</v>
      </c>
      <c r="B166" s="1732" t="s">
        <v>14</v>
      </c>
      <c r="C166" s="1732" t="s">
        <v>2534</v>
      </c>
      <c r="D166" s="1732" t="s">
        <v>2535</v>
      </c>
      <c r="E166" s="1732" t="s">
        <v>2536</v>
      </c>
      <c r="F166" s="1732" t="s">
        <v>2241</v>
      </c>
      <c r="G166" s="1732" t="s">
        <v>17</v>
      </c>
      <c r="H166" s="1732" t="s">
        <v>17</v>
      </c>
      <c r="I166" s="1732" t="s">
        <v>2538</v>
      </c>
      <c r="J166" t="s">
        <v>17</v>
      </c>
      <c r="K166" t="s">
        <v>2409</v>
      </c>
      <c r="L166" t="s">
        <v>2488</v>
      </c>
      <c r="M166" t="s">
        <v>2537</v>
      </c>
      <c r="N166" t="s">
        <v>393</v>
      </c>
    </row>
    <row r="167" spans="1:14" ht="11.25" customHeight="1">
      <c r="A167" s="1732" t="s">
        <v>2190</v>
      </c>
      <c r="B167" s="1732" t="s">
        <v>14</v>
      </c>
      <c r="C167" s="1732" t="s">
        <v>2539</v>
      </c>
      <c r="D167" s="1732" t="s">
        <v>2540</v>
      </c>
      <c r="E167" s="1732" t="s">
        <v>2541</v>
      </c>
      <c r="F167" s="1732" t="s">
        <v>2241</v>
      </c>
      <c r="G167" s="1732" t="s">
        <v>2542</v>
      </c>
      <c r="H167" s="1732" t="s">
        <v>17</v>
      </c>
      <c r="I167" s="1732" t="s">
        <v>2543</v>
      </c>
      <c r="J167" t="s">
        <v>17</v>
      </c>
      <c r="K167" t="s">
        <v>2396</v>
      </c>
      <c r="L167" t="s">
        <v>2485</v>
      </c>
      <c r="M167" t="s">
        <v>2544</v>
      </c>
      <c r="N167" t="s">
        <v>393</v>
      </c>
    </row>
    <row r="168" spans="1:14" ht="11.25" customHeight="1">
      <c r="A168" s="1732" t="s">
        <v>2190</v>
      </c>
      <c r="B168" s="1732" t="s">
        <v>14</v>
      </c>
      <c r="C168" s="1732" t="s">
        <v>2539</v>
      </c>
      <c r="D168" s="1732" t="s">
        <v>2540</v>
      </c>
      <c r="E168" s="1732" t="s">
        <v>2541</v>
      </c>
      <c r="F168" s="1732" t="s">
        <v>2241</v>
      </c>
      <c r="G168" s="1732" t="s">
        <v>2542</v>
      </c>
      <c r="H168" s="1732" t="s">
        <v>17</v>
      </c>
      <c r="I168" s="1732" t="s">
        <v>2543</v>
      </c>
      <c r="J168" t="s">
        <v>17</v>
      </c>
      <c r="K168" t="s">
        <v>2409</v>
      </c>
      <c r="L168" t="s">
        <v>2485</v>
      </c>
      <c r="M168" t="s">
        <v>2544</v>
      </c>
      <c r="N168" t="s">
        <v>393</v>
      </c>
    </row>
    <row r="169" spans="1:14" ht="11.25" customHeight="1">
      <c r="A169" s="1732" t="s">
        <v>2190</v>
      </c>
      <c r="B169" s="1732" t="s">
        <v>14</v>
      </c>
      <c r="C169" s="1732" t="s">
        <v>2545</v>
      </c>
      <c r="D169" s="1732" t="s">
        <v>2546</v>
      </c>
      <c r="E169" s="1732" t="s">
        <v>2547</v>
      </c>
      <c r="F169" s="1732" t="s">
        <v>2548</v>
      </c>
      <c r="G169" s="1732" t="s">
        <v>17</v>
      </c>
      <c r="H169" s="1732" t="s">
        <v>17</v>
      </c>
      <c r="I169" s="1732" t="s">
        <v>2549</v>
      </c>
      <c r="J169" t="s">
        <v>17</v>
      </c>
      <c r="K169" t="s">
        <v>2396</v>
      </c>
      <c r="L169" t="s">
        <v>2397</v>
      </c>
      <c r="M169" t="s">
        <v>2398</v>
      </c>
      <c r="N169" t="s">
        <v>393</v>
      </c>
    </row>
    <row r="170" spans="1:14" ht="11.25" customHeight="1">
      <c r="A170" s="1732" t="s">
        <v>2190</v>
      </c>
      <c r="B170" s="1732" t="s">
        <v>14</v>
      </c>
      <c r="C170" s="1732" t="s">
        <v>2305</v>
      </c>
      <c r="D170" s="1732" t="s">
        <v>2306</v>
      </c>
      <c r="E170" s="1732" t="s">
        <v>2307</v>
      </c>
      <c r="F170" s="1732" t="s">
        <v>2241</v>
      </c>
      <c r="G170" s="1732" t="s">
        <v>17</v>
      </c>
      <c r="H170" s="1732" t="s">
        <v>17</v>
      </c>
      <c r="I170" s="1732" t="s">
        <v>2308</v>
      </c>
      <c r="J170" t="s">
        <v>17</v>
      </c>
      <c r="K170" t="s">
        <v>2396</v>
      </c>
      <c r="L170" t="s">
        <v>2397</v>
      </c>
      <c r="M170" t="s">
        <v>2398</v>
      </c>
      <c r="N170" t="s">
        <v>393</v>
      </c>
    </row>
    <row r="171" spans="1:14" ht="11.25" customHeight="1">
      <c r="A171" s="1732" t="s">
        <v>2190</v>
      </c>
      <c r="B171" s="1732" t="s">
        <v>14</v>
      </c>
      <c r="C171" s="1732" t="s">
        <v>2550</v>
      </c>
      <c r="D171" s="1732" t="s">
        <v>2551</v>
      </c>
      <c r="E171" s="1732" t="s">
        <v>2552</v>
      </c>
      <c r="F171" s="1732" t="s">
        <v>2548</v>
      </c>
      <c r="G171" s="1732" t="s">
        <v>2553</v>
      </c>
      <c r="H171" s="1732" t="s">
        <v>17</v>
      </c>
      <c r="I171" s="1732" t="s">
        <v>2553</v>
      </c>
      <c r="J171" t="s">
        <v>17</v>
      </c>
      <c r="K171" t="s">
        <v>2396</v>
      </c>
      <c r="L171" t="s">
        <v>2397</v>
      </c>
      <c r="M171" t="s">
        <v>2398</v>
      </c>
      <c r="N171" t="s">
        <v>393</v>
      </c>
    </row>
    <row r="172" spans="1:14" ht="11.25" customHeight="1">
      <c r="A172" s="1732" t="s">
        <v>2190</v>
      </c>
      <c r="B172" s="1732" t="s">
        <v>14</v>
      </c>
      <c r="C172" s="1732" t="s">
        <v>2554</v>
      </c>
      <c r="D172" s="1732" t="s">
        <v>2555</v>
      </c>
      <c r="E172" s="1732" t="s">
        <v>2556</v>
      </c>
      <c r="F172" s="1732" t="s">
        <v>2548</v>
      </c>
      <c r="G172" s="1732" t="s">
        <v>2557</v>
      </c>
      <c r="H172" s="1732" t="s">
        <v>17</v>
      </c>
      <c r="I172" s="1732" t="s">
        <v>2557</v>
      </c>
      <c r="J172" t="s">
        <v>17</v>
      </c>
      <c r="K172" t="s">
        <v>2396</v>
      </c>
      <c r="L172" t="s">
        <v>2397</v>
      </c>
      <c r="M172" t="s">
        <v>2398</v>
      </c>
      <c r="N172" t="s">
        <v>393</v>
      </c>
    </row>
    <row r="173" spans="1:14" ht="11.25" customHeight="1">
      <c r="A173" s="1732" t="s">
        <v>2190</v>
      </c>
      <c r="B173" s="1732" t="s">
        <v>14</v>
      </c>
      <c r="C173" s="1732" t="s">
        <v>2558</v>
      </c>
      <c r="D173" s="1732" t="s">
        <v>2559</v>
      </c>
      <c r="E173" s="1732" t="s">
        <v>2560</v>
      </c>
      <c r="F173" s="1732" t="s">
        <v>2548</v>
      </c>
      <c r="G173" s="1732" t="s">
        <v>2561</v>
      </c>
      <c r="H173" s="1732" t="s">
        <v>17</v>
      </c>
      <c r="I173" s="1732" t="s">
        <v>2561</v>
      </c>
      <c r="J173" t="s">
        <v>17</v>
      </c>
      <c r="K173" t="s">
        <v>2396</v>
      </c>
      <c r="L173" t="s">
        <v>2397</v>
      </c>
      <c r="M173" t="s">
        <v>2398</v>
      </c>
      <c r="N173" t="s">
        <v>393</v>
      </c>
    </row>
    <row r="174" spans="1:14" ht="11.25" customHeight="1">
      <c r="A174" s="1732" t="s">
        <v>2190</v>
      </c>
      <c r="B174" s="1732" t="s">
        <v>14</v>
      </c>
      <c r="C174" s="1732" t="s">
        <v>2562</v>
      </c>
      <c r="D174" s="1732" t="s">
        <v>2563</v>
      </c>
      <c r="E174" s="1732" t="s">
        <v>2564</v>
      </c>
      <c r="F174" s="1732" t="s">
        <v>2194</v>
      </c>
      <c r="G174" s="1732" t="s">
        <v>2565</v>
      </c>
      <c r="H174" s="1732" t="s">
        <v>17</v>
      </c>
      <c r="I174" s="1732" t="s">
        <v>2565</v>
      </c>
      <c r="J174" t="s">
        <v>17</v>
      </c>
      <c r="K174" t="s">
        <v>2396</v>
      </c>
      <c r="L174" t="s">
        <v>2442</v>
      </c>
      <c r="M174" t="s">
        <v>2443</v>
      </c>
      <c r="N174" t="s">
        <v>393</v>
      </c>
    </row>
    <row r="175" spans="1:14" ht="11.25" customHeight="1">
      <c r="A175" s="1732" t="s">
        <v>2190</v>
      </c>
      <c r="B175" s="1732" t="s">
        <v>14</v>
      </c>
      <c r="C175" s="1732" t="s">
        <v>2562</v>
      </c>
      <c r="D175" s="1732" t="s">
        <v>2563</v>
      </c>
      <c r="E175" s="1732" t="s">
        <v>2564</v>
      </c>
      <c r="F175" s="1732" t="s">
        <v>2194</v>
      </c>
      <c r="G175" s="1732" t="s">
        <v>2565</v>
      </c>
      <c r="H175" s="1732" t="s">
        <v>17</v>
      </c>
      <c r="I175" s="1732" t="s">
        <v>2565</v>
      </c>
      <c r="J175" t="s">
        <v>17</v>
      </c>
      <c r="K175" t="s">
        <v>2409</v>
      </c>
      <c r="L175" t="s">
        <v>2442</v>
      </c>
      <c r="M175" t="s">
        <v>2443</v>
      </c>
      <c r="N175" t="s">
        <v>393</v>
      </c>
    </row>
    <row r="176" spans="1:14" ht="11.25" customHeight="1">
      <c r="A176" s="1732" t="s">
        <v>2190</v>
      </c>
      <c r="B176" s="1732" t="s">
        <v>14</v>
      </c>
      <c r="C176" s="1732" t="s">
        <v>2566</v>
      </c>
      <c r="D176" s="1732" t="s">
        <v>2567</v>
      </c>
      <c r="E176" s="1732" t="s">
        <v>2568</v>
      </c>
      <c r="F176" s="1732" t="s">
        <v>2224</v>
      </c>
      <c r="G176" s="1732" t="s">
        <v>2569</v>
      </c>
      <c r="H176" s="1732" t="s">
        <v>17</v>
      </c>
      <c r="I176" s="1732" t="s">
        <v>2570</v>
      </c>
      <c r="J176" t="s">
        <v>17</v>
      </c>
      <c r="K176" t="s">
        <v>2396</v>
      </c>
      <c r="L176" t="s">
        <v>2407</v>
      </c>
      <c r="M176" t="s">
        <v>2408</v>
      </c>
      <c r="N176" t="s">
        <v>393</v>
      </c>
    </row>
    <row r="177" spans="1:14" ht="11.25" customHeight="1">
      <c r="A177" s="1732" t="s">
        <v>2190</v>
      </c>
      <c r="B177" s="1732" t="s">
        <v>14</v>
      </c>
      <c r="C177" s="1732" t="s">
        <v>2566</v>
      </c>
      <c r="D177" s="1732" t="s">
        <v>2567</v>
      </c>
      <c r="E177" s="1732" t="s">
        <v>2568</v>
      </c>
      <c r="F177" s="1732" t="s">
        <v>2224</v>
      </c>
      <c r="G177" s="1732" t="s">
        <v>2569</v>
      </c>
      <c r="H177" s="1732" t="s">
        <v>17</v>
      </c>
      <c r="I177" s="1732" t="s">
        <v>2570</v>
      </c>
      <c r="J177" t="s">
        <v>17</v>
      </c>
      <c r="K177" t="s">
        <v>2409</v>
      </c>
      <c r="L177" t="s">
        <v>2407</v>
      </c>
      <c r="M177" t="s">
        <v>2408</v>
      </c>
      <c r="N177" t="s">
        <v>393</v>
      </c>
    </row>
    <row r="178" spans="1:14" ht="11.25" customHeight="1">
      <c r="A178" s="1732" t="s">
        <v>2190</v>
      </c>
      <c r="B178" s="1732" t="s">
        <v>14</v>
      </c>
      <c r="C178" s="1732" t="s">
        <v>2566</v>
      </c>
      <c r="D178" s="1732" t="s">
        <v>2567</v>
      </c>
      <c r="E178" s="1732" t="s">
        <v>2568</v>
      </c>
      <c r="F178" s="1732" t="s">
        <v>2224</v>
      </c>
      <c r="G178" s="1732" t="s">
        <v>2569</v>
      </c>
      <c r="H178" s="1732" t="s">
        <v>17</v>
      </c>
      <c r="I178" s="1732" t="s">
        <v>2571</v>
      </c>
      <c r="J178" t="s">
        <v>17</v>
      </c>
      <c r="K178" t="s">
        <v>2396</v>
      </c>
      <c r="L178" t="s">
        <v>2407</v>
      </c>
      <c r="M178" t="s">
        <v>2408</v>
      </c>
      <c r="N178" t="s">
        <v>393</v>
      </c>
    </row>
    <row r="179" spans="1:14" ht="11.25" customHeight="1">
      <c r="A179" s="1732" t="s">
        <v>2190</v>
      </c>
      <c r="B179" s="1732" t="s">
        <v>14</v>
      </c>
      <c r="C179" s="1732" t="s">
        <v>2566</v>
      </c>
      <c r="D179" s="1732" t="s">
        <v>2567</v>
      </c>
      <c r="E179" s="1732" t="s">
        <v>2568</v>
      </c>
      <c r="F179" s="1732" t="s">
        <v>2224</v>
      </c>
      <c r="G179" s="1732" t="s">
        <v>2569</v>
      </c>
      <c r="H179" s="1732" t="s">
        <v>17</v>
      </c>
      <c r="I179" s="1732" t="s">
        <v>2571</v>
      </c>
      <c r="J179" t="s">
        <v>17</v>
      </c>
      <c r="K179" t="s">
        <v>2409</v>
      </c>
      <c r="L179" t="s">
        <v>2407</v>
      </c>
      <c r="M179" t="s">
        <v>2408</v>
      </c>
      <c r="N179" t="s">
        <v>393</v>
      </c>
    </row>
    <row r="180" spans="1:14" ht="11.25" customHeight="1">
      <c r="A180" s="1732" t="s">
        <v>2190</v>
      </c>
      <c r="B180" s="1732" t="s">
        <v>14</v>
      </c>
      <c r="C180" s="1732" t="s">
        <v>2566</v>
      </c>
      <c r="D180" s="1732" t="s">
        <v>2567</v>
      </c>
      <c r="E180" s="1732" t="s">
        <v>2568</v>
      </c>
      <c r="F180" s="1732" t="s">
        <v>2224</v>
      </c>
      <c r="G180" s="1732" t="s">
        <v>2569</v>
      </c>
      <c r="H180" s="1732" t="s">
        <v>17</v>
      </c>
      <c r="I180" s="1732" t="s">
        <v>2522</v>
      </c>
      <c r="J180" t="s">
        <v>17</v>
      </c>
      <c r="K180" t="s">
        <v>2396</v>
      </c>
      <c r="L180" t="s">
        <v>2502</v>
      </c>
      <c r="M180" t="s">
        <v>2503</v>
      </c>
      <c r="N180" t="s">
        <v>393</v>
      </c>
    </row>
    <row r="181" spans="1:14" ht="11.25" customHeight="1">
      <c r="A181" s="1732" t="s">
        <v>2190</v>
      </c>
      <c r="B181" s="1732" t="s">
        <v>14</v>
      </c>
      <c r="C181" s="1732" t="s">
        <v>2566</v>
      </c>
      <c r="D181" s="1732" t="s">
        <v>2567</v>
      </c>
      <c r="E181" s="1732" t="s">
        <v>2568</v>
      </c>
      <c r="F181" s="1732" t="s">
        <v>2224</v>
      </c>
      <c r="G181" s="1732" t="s">
        <v>2569</v>
      </c>
      <c r="H181" s="1732" t="s">
        <v>17</v>
      </c>
      <c r="I181" s="1732" t="s">
        <v>2369</v>
      </c>
      <c r="J181" t="s">
        <v>17</v>
      </c>
      <c r="K181" t="s">
        <v>2409</v>
      </c>
      <c r="L181" t="s">
        <v>2488</v>
      </c>
      <c r="M181" t="s">
        <v>2537</v>
      </c>
      <c r="N181" t="s">
        <v>393</v>
      </c>
    </row>
    <row r="182" spans="1:14" ht="11.25" customHeight="1">
      <c r="A182" s="1732" t="s">
        <v>2190</v>
      </c>
      <c r="B182" s="1732" t="s">
        <v>14</v>
      </c>
      <c r="C182" s="1732" t="s">
        <v>2566</v>
      </c>
      <c r="D182" s="1732" t="s">
        <v>2567</v>
      </c>
      <c r="E182" s="1732" t="s">
        <v>2568</v>
      </c>
      <c r="F182" s="1732" t="s">
        <v>2224</v>
      </c>
      <c r="G182" s="1732" t="s">
        <v>2569</v>
      </c>
      <c r="H182" s="1732" t="s">
        <v>17</v>
      </c>
      <c r="I182" s="1732" t="s">
        <v>2369</v>
      </c>
      <c r="J182" t="s">
        <v>17</v>
      </c>
      <c r="K182" t="s">
        <v>2396</v>
      </c>
      <c r="L182" t="s">
        <v>2572</v>
      </c>
      <c r="M182" t="s">
        <v>2573</v>
      </c>
      <c r="N182" t="s">
        <v>393</v>
      </c>
    </row>
    <row r="183" spans="1:14" ht="11.25" customHeight="1">
      <c r="A183" s="1732" t="s">
        <v>2190</v>
      </c>
      <c r="B183" s="1732" t="s">
        <v>14</v>
      </c>
      <c r="C183" s="1732" t="s">
        <v>2566</v>
      </c>
      <c r="D183" s="1732" t="s">
        <v>2567</v>
      </c>
      <c r="E183" s="1732" t="s">
        <v>2568</v>
      </c>
      <c r="F183" s="1732" t="s">
        <v>2224</v>
      </c>
      <c r="G183" s="1732" t="s">
        <v>2569</v>
      </c>
      <c r="H183" s="1732" t="s">
        <v>17</v>
      </c>
      <c r="I183" s="1732" t="s">
        <v>2369</v>
      </c>
      <c r="J183" t="s">
        <v>17</v>
      </c>
      <c r="K183" t="s">
        <v>2409</v>
      </c>
      <c r="L183" t="s">
        <v>2572</v>
      </c>
      <c r="M183" t="s">
        <v>2573</v>
      </c>
      <c r="N183" t="s">
        <v>393</v>
      </c>
    </row>
    <row r="184" spans="1:14" ht="11.25" customHeight="1">
      <c r="A184" s="1732" t="s">
        <v>2190</v>
      </c>
      <c r="B184" s="1732" t="s">
        <v>14</v>
      </c>
      <c r="C184" s="1732" t="s">
        <v>2574</v>
      </c>
      <c r="D184" s="1732" t="s">
        <v>2575</v>
      </c>
      <c r="E184" s="1732" t="s">
        <v>2576</v>
      </c>
      <c r="F184" s="1732" t="s">
        <v>2518</v>
      </c>
      <c r="G184" s="1732" t="s">
        <v>2577</v>
      </c>
      <c r="H184" s="1732" t="s">
        <v>17</v>
      </c>
      <c r="I184" s="1732" t="s">
        <v>2577</v>
      </c>
      <c r="J184" t="s">
        <v>17</v>
      </c>
      <c r="K184" t="s">
        <v>2396</v>
      </c>
      <c r="L184" t="s">
        <v>2397</v>
      </c>
      <c r="M184" t="s">
        <v>2398</v>
      </c>
      <c r="N184" t="s">
        <v>393</v>
      </c>
    </row>
    <row r="185" spans="1:14" ht="11.25" customHeight="1">
      <c r="A185" s="1732" t="s">
        <v>2190</v>
      </c>
      <c r="B185" s="1732" t="s">
        <v>14</v>
      </c>
      <c r="C185" s="1732" t="s">
        <v>2578</v>
      </c>
      <c r="D185" s="1732" t="s">
        <v>2579</v>
      </c>
      <c r="E185" s="1732" t="s">
        <v>2580</v>
      </c>
      <c r="F185" s="1732" t="s">
        <v>2581</v>
      </c>
      <c r="G185" s="1732" t="s">
        <v>2582</v>
      </c>
      <c r="H185" s="1732" t="s">
        <v>17</v>
      </c>
      <c r="I185" s="1732" t="s">
        <v>2583</v>
      </c>
      <c r="J185" t="s">
        <v>17</v>
      </c>
      <c r="K185" t="s">
        <v>2396</v>
      </c>
      <c r="L185" t="s">
        <v>2422</v>
      </c>
      <c r="M185" t="s">
        <v>2423</v>
      </c>
      <c r="N185" t="s">
        <v>393</v>
      </c>
    </row>
    <row r="186" spans="1:14" ht="11.25" customHeight="1">
      <c r="A186" s="1732" t="s">
        <v>2190</v>
      </c>
      <c r="B186" s="1732" t="s">
        <v>14</v>
      </c>
      <c r="C186" s="1732" t="s">
        <v>2584</v>
      </c>
      <c r="D186" s="1732" t="s">
        <v>2585</v>
      </c>
      <c r="E186" s="1732" t="s">
        <v>2586</v>
      </c>
      <c r="F186" s="1732" t="s">
        <v>2263</v>
      </c>
      <c r="G186" s="1732" t="s">
        <v>2587</v>
      </c>
      <c r="H186" s="1732" t="s">
        <v>17</v>
      </c>
      <c r="I186" s="1732" t="s">
        <v>2588</v>
      </c>
      <c r="J186" t="s">
        <v>17</v>
      </c>
      <c r="K186" t="s">
        <v>2396</v>
      </c>
      <c r="L186" t="s">
        <v>2407</v>
      </c>
      <c r="M186" t="s">
        <v>2408</v>
      </c>
      <c r="N186" t="s">
        <v>393</v>
      </c>
    </row>
    <row r="187" spans="1:14" ht="11.25" customHeight="1">
      <c r="A187" s="1732" t="s">
        <v>2190</v>
      </c>
      <c r="B187" s="1732" t="s">
        <v>14</v>
      </c>
      <c r="C187" s="1732" t="s">
        <v>2584</v>
      </c>
      <c r="D187" s="1732" t="s">
        <v>2585</v>
      </c>
      <c r="E187" s="1732" t="s">
        <v>2586</v>
      </c>
      <c r="F187" s="1732" t="s">
        <v>2263</v>
      </c>
      <c r="G187" s="1732" t="s">
        <v>2587</v>
      </c>
      <c r="H187" s="1732" t="s">
        <v>17</v>
      </c>
      <c r="I187" s="1732" t="s">
        <v>2588</v>
      </c>
      <c r="J187" t="s">
        <v>17</v>
      </c>
      <c r="K187" t="s">
        <v>2409</v>
      </c>
      <c r="L187" t="s">
        <v>2407</v>
      </c>
      <c r="M187" t="s">
        <v>2408</v>
      </c>
      <c r="N187" t="s">
        <v>393</v>
      </c>
    </row>
    <row r="188" spans="1:14" ht="11.25" customHeight="1">
      <c r="A188" s="1732" t="s">
        <v>2190</v>
      </c>
      <c r="B188" s="1732" t="s">
        <v>14</v>
      </c>
      <c r="C188" s="1732" t="s">
        <v>2589</v>
      </c>
      <c r="D188" s="1732" t="s">
        <v>2590</v>
      </c>
      <c r="E188" s="1732" t="s">
        <v>2378</v>
      </c>
      <c r="F188" s="1732" t="s">
        <v>2591</v>
      </c>
      <c r="G188" s="1732" t="s">
        <v>2592</v>
      </c>
      <c r="H188" s="1732" t="s">
        <v>17</v>
      </c>
      <c r="I188" s="1732" t="s">
        <v>2593</v>
      </c>
      <c r="J188" t="s">
        <v>17</v>
      </c>
      <c r="K188" t="s">
        <v>2396</v>
      </c>
      <c r="L188" t="s">
        <v>2397</v>
      </c>
      <c r="M188" t="s">
        <v>2398</v>
      </c>
      <c r="N188" t="s">
        <v>393</v>
      </c>
    </row>
    <row r="189" spans="1:14" ht="11.25" customHeight="1">
      <c r="A189" s="1732" t="s">
        <v>2190</v>
      </c>
      <c r="B189" s="1732" t="s">
        <v>14</v>
      </c>
      <c r="C189" s="1732" t="s">
        <v>2594</v>
      </c>
      <c r="D189" s="1732" t="s">
        <v>2595</v>
      </c>
      <c r="E189" s="1732" t="s">
        <v>2596</v>
      </c>
      <c r="F189" s="1732" t="s">
        <v>2224</v>
      </c>
      <c r="G189" s="1732" t="s">
        <v>2597</v>
      </c>
      <c r="H189" s="1732" t="s">
        <v>17</v>
      </c>
      <c r="I189" s="1732" t="s">
        <v>2214</v>
      </c>
      <c r="J189" t="s">
        <v>17</v>
      </c>
      <c r="K189" t="s">
        <v>2396</v>
      </c>
      <c r="L189" t="s">
        <v>2422</v>
      </c>
      <c r="M189" t="s">
        <v>2423</v>
      </c>
      <c r="N189" t="s">
        <v>393</v>
      </c>
    </row>
    <row r="190" spans="1:14" ht="11.25" customHeight="1">
      <c r="A190" s="1732" t="s">
        <v>2190</v>
      </c>
      <c r="B190" s="1732" t="s">
        <v>14</v>
      </c>
      <c r="C190" s="1732" t="s">
        <v>2598</v>
      </c>
      <c r="D190" s="1732" t="s">
        <v>2599</v>
      </c>
      <c r="E190" s="1732" t="s">
        <v>2600</v>
      </c>
      <c r="F190" s="1732" t="s">
        <v>2224</v>
      </c>
      <c r="G190" s="1732" t="s">
        <v>2601</v>
      </c>
      <c r="H190" s="1732" t="s">
        <v>17</v>
      </c>
      <c r="I190" s="1732" t="s">
        <v>2602</v>
      </c>
      <c r="J190" t="s">
        <v>17</v>
      </c>
      <c r="K190" t="s">
        <v>2396</v>
      </c>
      <c r="L190" t="s">
        <v>2502</v>
      </c>
      <c r="M190" t="s">
        <v>2503</v>
      </c>
      <c r="N190" t="s">
        <v>393</v>
      </c>
    </row>
    <row r="191" spans="1:14" ht="11.25" customHeight="1">
      <c r="A191" s="1732" t="s">
        <v>2190</v>
      </c>
      <c r="B191" s="1732" t="s">
        <v>14</v>
      </c>
      <c r="C191" s="1732" t="s">
        <v>2603</v>
      </c>
      <c r="D191" s="1732" t="s">
        <v>2604</v>
      </c>
      <c r="E191" s="1732" t="s">
        <v>2605</v>
      </c>
      <c r="F191" s="1732" t="s">
        <v>2224</v>
      </c>
      <c r="G191" s="1732" t="s">
        <v>2606</v>
      </c>
      <c r="H191" s="1732" t="s">
        <v>17</v>
      </c>
      <c r="I191" s="1732" t="s">
        <v>2607</v>
      </c>
      <c r="J191" t="s">
        <v>17</v>
      </c>
      <c r="K191" t="s">
        <v>2396</v>
      </c>
      <c r="L191" t="s">
        <v>2407</v>
      </c>
      <c r="M191" t="s">
        <v>2408</v>
      </c>
      <c r="N191" t="s">
        <v>393</v>
      </c>
    </row>
    <row r="192" spans="1:14" ht="11.25" customHeight="1">
      <c r="A192" s="1732" t="s">
        <v>2190</v>
      </c>
      <c r="B192" s="1732" t="s">
        <v>14</v>
      </c>
      <c r="C192" s="1732" t="s">
        <v>2603</v>
      </c>
      <c r="D192" s="1732" t="s">
        <v>2604</v>
      </c>
      <c r="E192" s="1732" t="s">
        <v>2605</v>
      </c>
      <c r="F192" s="1732" t="s">
        <v>2224</v>
      </c>
      <c r="G192" s="1732" t="s">
        <v>2606</v>
      </c>
      <c r="H192" s="1732" t="s">
        <v>17</v>
      </c>
      <c r="I192" s="1732" t="s">
        <v>2607</v>
      </c>
      <c r="J192" t="s">
        <v>17</v>
      </c>
      <c r="K192" t="s">
        <v>2409</v>
      </c>
      <c r="L192" t="s">
        <v>2407</v>
      </c>
      <c r="M192" t="s">
        <v>2408</v>
      </c>
      <c r="N192" t="s">
        <v>393</v>
      </c>
    </row>
    <row r="193" spans="1:14" ht="11.25" customHeight="1">
      <c r="A193" s="1732" t="s">
        <v>2190</v>
      </c>
      <c r="B193" s="1732" t="s">
        <v>14</v>
      </c>
      <c r="C193" s="1732" t="s">
        <v>2370</v>
      </c>
      <c r="D193" s="1732" t="s">
        <v>2371</v>
      </c>
      <c r="E193" s="1732" t="s">
        <v>2372</v>
      </c>
      <c r="F193" s="1732" t="s">
        <v>2373</v>
      </c>
      <c r="G193" s="1732" t="s">
        <v>2374</v>
      </c>
      <c r="H193" s="1732" t="s">
        <v>17</v>
      </c>
      <c r="I193" s="1732" t="s">
        <v>2220</v>
      </c>
      <c r="J193" t="s">
        <v>17</v>
      </c>
      <c r="K193" t="s">
        <v>2409</v>
      </c>
      <c r="L193" t="s">
        <v>2488</v>
      </c>
      <c r="M193" t="s">
        <v>2537</v>
      </c>
      <c r="N193" t="s">
        <v>393</v>
      </c>
    </row>
    <row r="194" spans="1:14" ht="11.25" customHeight="1">
      <c r="A194" s="1732" t="s">
        <v>2190</v>
      </c>
      <c r="B194" s="1732" t="s">
        <v>14</v>
      </c>
      <c r="C194" s="1732" t="s">
        <v>2370</v>
      </c>
      <c r="D194" s="1732" t="s">
        <v>2371</v>
      </c>
      <c r="E194" s="1732" t="s">
        <v>2372</v>
      </c>
      <c r="F194" s="1732" t="s">
        <v>2373</v>
      </c>
      <c r="G194" s="1732" t="s">
        <v>2374</v>
      </c>
      <c r="H194" s="1732" t="s">
        <v>17</v>
      </c>
      <c r="I194" s="1732" t="s">
        <v>2220</v>
      </c>
      <c r="J194" t="s">
        <v>17</v>
      </c>
      <c r="K194" t="s">
        <v>2396</v>
      </c>
      <c r="L194" t="s">
        <v>2459</v>
      </c>
      <c r="M194" t="s">
        <v>2460</v>
      </c>
      <c r="N194" t="s">
        <v>393</v>
      </c>
    </row>
    <row r="195" spans="1:14" ht="11.25" customHeight="1">
      <c r="A195" s="1732" t="s">
        <v>2190</v>
      </c>
      <c r="B195" s="1732" t="s">
        <v>14</v>
      </c>
      <c r="C195" s="1732" t="s">
        <v>2370</v>
      </c>
      <c r="D195" s="1732" t="s">
        <v>2371</v>
      </c>
      <c r="E195" s="1732" t="s">
        <v>2372</v>
      </c>
      <c r="F195" s="1732" t="s">
        <v>2373</v>
      </c>
      <c r="G195" s="1732" t="s">
        <v>2374</v>
      </c>
      <c r="H195" s="1732" t="s">
        <v>17</v>
      </c>
      <c r="I195" s="1732" t="s">
        <v>2220</v>
      </c>
      <c r="J195" t="s">
        <v>17</v>
      </c>
      <c r="K195" t="s">
        <v>2409</v>
      </c>
      <c r="L195" t="s">
        <v>2459</v>
      </c>
      <c r="M195" t="s">
        <v>2460</v>
      </c>
      <c r="N195" t="s">
        <v>393</v>
      </c>
    </row>
    <row r="196" spans="1:14" ht="11.25" customHeight="1">
      <c r="A196" s="1732" t="s">
        <v>2190</v>
      </c>
      <c r="B196" s="1732" t="s">
        <v>14</v>
      </c>
      <c r="C196" s="1732" t="s">
        <v>2370</v>
      </c>
      <c r="D196" s="1732" t="s">
        <v>2371</v>
      </c>
      <c r="E196" s="1732" t="s">
        <v>2372</v>
      </c>
      <c r="F196" s="1732" t="s">
        <v>2373</v>
      </c>
      <c r="G196" s="1732" t="s">
        <v>2374</v>
      </c>
      <c r="H196" s="1732" t="s">
        <v>17</v>
      </c>
      <c r="I196" s="1732" t="s">
        <v>2220</v>
      </c>
      <c r="J196" t="s">
        <v>17</v>
      </c>
      <c r="K196" t="s">
        <v>2396</v>
      </c>
      <c r="L196" t="s">
        <v>2439</v>
      </c>
      <c r="M196" t="s">
        <v>2440</v>
      </c>
      <c r="N196" t="s">
        <v>393</v>
      </c>
    </row>
    <row r="197" spans="1:14" ht="11.25" customHeight="1">
      <c r="A197" s="1732" t="s">
        <v>2190</v>
      </c>
      <c r="B197" s="1732" t="s">
        <v>14</v>
      </c>
      <c r="C197" s="1732" t="s">
        <v>2370</v>
      </c>
      <c r="D197" s="1732" t="s">
        <v>2371</v>
      </c>
      <c r="E197" s="1732" t="s">
        <v>2372</v>
      </c>
      <c r="F197" s="1732" t="s">
        <v>2373</v>
      </c>
      <c r="G197" s="1732" t="s">
        <v>2374</v>
      </c>
      <c r="H197" s="1732" t="s">
        <v>17</v>
      </c>
      <c r="I197" s="1732" t="s">
        <v>2220</v>
      </c>
      <c r="J197" t="s">
        <v>17</v>
      </c>
      <c r="K197" t="s">
        <v>2409</v>
      </c>
      <c r="L197" t="s">
        <v>2439</v>
      </c>
      <c r="M197" t="s">
        <v>2440</v>
      </c>
      <c r="N197" t="s">
        <v>393</v>
      </c>
    </row>
    <row r="198" spans="1:14" ht="11.25" customHeight="1">
      <c r="A198" s="1732" t="s">
        <v>2190</v>
      </c>
      <c r="B198" s="1732" t="s">
        <v>14</v>
      </c>
      <c r="C198" s="1732" t="s">
        <v>2370</v>
      </c>
      <c r="D198" s="1732" t="s">
        <v>2371</v>
      </c>
      <c r="E198" s="1732" t="s">
        <v>2372</v>
      </c>
      <c r="F198" s="1732" t="s">
        <v>2373</v>
      </c>
      <c r="G198" s="1732" t="s">
        <v>2374</v>
      </c>
      <c r="H198" s="1732" t="s">
        <v>17</v>
      </c>
      <c r="I198" s="1732" t="s">
        <v>2220</v>
      </c>
      <c r="J198" t="s">
        <v>17</v>
      </c>
      <c r="K198" t="s">
        <v>2396</v>
      </c>
      <c r="L198" t="s">
        <v>2442</v>
      </c>
      <c r="M198" t="s">
        <v>2443</v>
      </c>
      <c r="N198" t="s">
        <v>393</v>
      </c>
    </row>
    <row r="199" spans="1:14" ht="11.25" customHeight="1">
      <c r="A199" s="1732" t="s">
        <v>2190</v>
      </c>
      <c r="B199" s="1732" t="s">
        <v>14</v>
      </c>
      <c r="C199" s="1732" t="s">
        <v>2370</v>
      </c>
      <c r="D199" s="1732" t="s">
        <v>2371</v>
      </c>
      <c r="E199" s="1732" t="s">
        <v>2372</v>
      </c>
      <c r="F199" s="1732" t="s">
        <v>2373</v>
      </c>
      <c r="G199" s="1732" t="s">
        <v>2374</v>
      </c>
      <c r="H199" s="1732" t="s">
        <v>17</v>
      </c>
      <c r="I199" s="1732" t="s">
        <v>2220</v>
      </c>
      <c r="J199" t="s">
        <v>17</v>
      </c>
      <c r="K199" t="s">
        <v>2409</v>
      </c>
      <c r="L199" t="s">
        <v>2442</v>
      </c>
      <c r="M199" t="s">
        <v>2443</v>
      </c>
      <c r="N199" t="s">
        <v>393</v>
      </c>
    </row>
    <row r="200" spans="1:14" ht="11.25" customHeight="1">
      <c r="A200" s="1732" t="s">
        <v>2190</v>
      </c>
      <c r="B200" s="1732" t="s">
        <v>14</v>
      </c>
      <c r="C200" s="1732" t="s">
        <v>2376</v>
      </c>
      <c r="D200" s="1732" t="s">
        <v>2377</v>
      </c>
      <c r="E200" s="1732" t="s">
        <v>2378</v>
      </c>
      <c r="F200" s="1732" t="s">
        <v>2379</v>
      </c>
      <c r="G200" s="1732" t="s">
        <v>2380</v>
      </c>
      <c r="H200" s="1732" t="s">
        <v>17</v>
      </c>
      <c r="I200" s="1732" t="s">
        <v>2380</v>
      </c>
      <c r="J200" t="s">
        <v>17</v>
      </c>
      <c r="K200" t="s">
        <v>2396</v>
      </c>
      <c r="L200" t="s">
        <v>2414</v>
      </c>
      <c r="M200" t="s">
        <v>2415</v>
      </c>
      <c r="N200" t="s">
        <v>393</v>
      </c>
    </row>
    <row r="201" spans="1:14" ht="11.25" customHeight="1">
      <c r="A201" s="1732" t="s">
        <v>2190</v>
      </c>
      <c r="B201" s="1732" t="s">
        <v>14</v>
      </c>
      <c r="C201" s="1732" t="s">
        <v>2376</v>
      </c>
      <c r="D201" s="1732" t="s">
        <v>2377</v>
      </c>
      <c r="E201" s="1732" t="s">
        <v>2378</v>
      </c>
      <c r="F201" s="1732" t="s">
        <v>2379</v>
      </c>
      <c r="G201" s="1732" t="s">
        <v>2380</v>
      </c>
      <c r="H201" s="1732" t="s">
        <v>17</v>
      </c>
      <c r="I201" s="1732" t="s">
        <v>2380</v>
      </c>
      <c r="J201" t="s">
        <v>17</v>
      </c>
      <c r="K201" t="s">
        <v>2409</v>
      </c>
      <c r="L201" t="s">
        <v>2414</v>
      </c>
      <c r="M201" t="s">
        <v>2415</v>
      </c>
      <c r="N201" t="s">
        <v>393</v>
      </c>
    </row>
    <row r="202" spans="1:14" ht="11.25" customHeight="1">
      <c r="A202" s="1732" t="s">
        <v>2190</v>
      </c>
      <c r="B202" s="1732" t="s">
        <v>14</v>
      </c>
      <c r="C202" s="1732" t="s">
        <v>2376</v>
      </c>
      <c r="D202" s="1732" t="s">
        <v>2377</v>
      </c>
      <c r="E202" s="1732" t="s">
        <v>2378</v>
      </c>
      <c r="F202" s="1732" t="s">
        <v>2379</v>
      </c>
      <c r="G202" s="1732" t="s">
        <v>2380</v>
      </c>
      <c r="H202" s="1732" t="s">
        <v>17</v>
      </c>
      <c r="I202" s="1732" t="s">
        <v>2465</v>
      </c>
      <c r="J202" t="s">
        <v>17</v>
      </c>
      <c r="K202" t="s">
        <v>2396</v>
      </c>
      <c r="L202" t="s">
        <v>2442</v>
      </c>
      <c r="M202" t="s">
        <v>2443</v>
      </c>
      <c r="N202" t="s">
        <v>393</v>
      </c>
    </row>
    <row r="203" spans="1:14" ht="11.25" customHeight="1">
      <c r="A203" s="1732" t="s">
        <v>2190</v>
      </c>
      <c r="B203" s="1732" t="s">
        <v>14</v>
      </c>
      <c r="C203" s="1732" t="s">
        <v>2376</v>
      </c>
      <c r="D203" s="1732" t="s">
        <v>2377</v>
      </c>
      <c r="E203" s="1732" t="s">
        <v>2378</v>
      </c>
      <c r="F203" s="1732" t="s">
        <v>2379</v>
      </c>
      <c r="G203" s="1732" t="s">
        <v>2380</v>
      </c>
      <c r="H203" s="1732" t="s">
        <v>17</v>
      </c>
      <c r="I203" s="1732" t="s">
        <v>2465</v>
      </c>
      <c r="J203" t="s">
        <v>17</v>
      </c>
      <c r="K203" t="s">
        <v>2409</v>
      </c>
      <c r="L203" t="s">
        <v>2442</v>
      </c>
      <c r="M203" t="s">
        <v>2443</v>
      </c>
      <c r="N203" t="s">
        <v>393</v>
      </c>
    </row>
    <row r="204" spans="1:14" ht="11.25" customHeight="1">
      <c r="A204" s="1732" t="s">
        <v>2190</v>
      </c>
      <c r="B204" s="1732" t="s">
        <v>14</v>
      </c>
      <c r="C204" s="1732" t="s">
        <v>2191</v>
      </c>
      <c r="D204" s="1732" t="s">
        <v>2192</v>
      </c>
      <c r="E204" s="1732" t="s">
        <v>2193</v>
      </c>
      <c r="F204" s="1732" t="s">
        <v>2194</v>
      </c>
      <c r="G204" s="1732" t="s">
        <v>2195</v>
      </c>
      <c r="H204" s="1732" t="s">
        <v>17</v>
      </c>
      <c r="I204" s="1732" t="s">
        <v>2195</v>
      </c>
      <c r="J204" t="s">
        <v>17</v>
      </c>
      <c r="K204" t="s">
        <v>2608</v>
      </c>
      <c r="L204" t="s">
        <v>2609</v>
      </c>
      <c r="M204" t="s">
        <v>2610</v>
      </c>
      <c r="N204" t="s">
        <v>394</v>
      </c>
    </row>
    <row r="205" spans="1:14" ht="11.25" customHeight="1">
      <c r="A205" s="1732" t="s">
        <v>2190</v>
      </c>
      <c r="B205" s="1732" t="s">
        <v>14</v>
      </c>
      <c r="C205" s="1732" t="s">
        <v>2208</v>
      </c>
      <c r="D205" s="1732" t="s">
        <v>2209</v>
      </c>
      <c r="E205" s="1732" t="s">
        <v>2210</v>
      </c>
      <c r="F205" s="1732" t="s">
        <v>2211</v>
      </c>
      <c r="G205" s="1732" t="s">
        <v>17</v>
      </c>
      <c r="H205" s="1732" t="s">
        <v>17</v>
      </c>
      <c r="I205" s="1732" t="s">
        <v>2212</v>
      </c>
      <c r="J205" t="s">
        <v>17</v>
      </c>
      <c r="K205" t="s">
        <v>2608</v>
      </c>
      <c r="L205" t="s">
        <v>2609</v>
      </c>
      <c r="M205" t="s">
        <v>2610</v>
      </c>
      <c r="N205" t="s">
        <v>394</v>
      </c>
    </row>
    <row r="206" spans="1:14" ht="11.25" customHeight="1">
      <c r="A206" s="1732" t="s">
        <v>2190</v>
      </c>
      <c r="B206" s="1732" t="s">
        <v>14</v>
      </c>
      <c r="C206" s="1732" t="s">
        <v>2208</v>
      </c>
      <c r="D206" s="1732" t="s">
        <v>2209</v>
      </c>
      <c r="E206" s="1732" t="s">
        <v>2210</v>
      </c>
      <c r="F206" s="1732" t="s">
        <v>2211</v>
      </c>
      <c r="G206" s="1732" t="s">
        <v>17</v>
      </c>
      <c r="H206" s="1732" t="s">
        <v>17</v>
      </c>
      <c r="I206" s="1732" t="s">
        <v>2611</v>
      </c>
      <c r="J206" t="s">
        <v>17</v>
      </c>
      <c r="K206" t="s">
        <v>2608</v>
      </c>
      <c r="L206" t="s">
        <v>2609</v>
      </c>
      <c r="M206" t="s">
        <v>2610</v>
      </c>
      <c r="N206" t="s">
        <v>394</v>
      </c>
    </row>
    <row r="207" spans="1:14" ht="11.25" customHeight="1">
      <c r="A207" s="1732" t="s">
        <v>2190</v>
      </c>
      <c r="B207" s="1732" t="s">
        <v>14</v>
      </c>
      <c r="C207" s="1732" t="s">
        <v>2402</v>
      </c>
      <c r="D207" s="1732" t="s">
        <v>2403</v>
      </c>
      <c r="E207" s="1732" t="s">
        <v>2404</v>
      </c>
      <c r="F207" s="1732" t="s">
        <v>2194</v>
      </c>
      <c r="G207" s="1732" t="s">
        <v>2405</v>
      </c>
      <c r="H207" s="1732" t="s">
        <v>17</v>
      </c>
      <c r="I207" s="1732" t="s">
        <v>2406</v>
      </c>
      <c r="J207" t="s">
        <v>17</v>
      </c>
      <c r="K207" t="s">
        <v>2608</v>
      </c>
      <c r="L207" t="s">
        <v>2609</v>
      </c>
      <c r="M207" t="s">
        <v>2610</v>
      </c>
      <c r="N207" t="s">
        <v>394</v>
      </c>
    </row>
    <row r="208" spans="1:14" ht="11.25" customHeight="1">
      <c r="A208" s="1732" t="s">
        <v>2190</v>
      </c>
      <c r="B208" s="1732" t="s">
        <v>14</v>
      </c>
      <c r="C208" s="1732" t="s">
        <v>2228</v>
      </c>
      <c r="D208" s="1732" t="s">
        <v>2229</v>
      </c>
      <c r="E208" s="1732" t="s">
        <v>2230</v>
      </c>
      <c r="F208" s="1732" t="s">
        <v>2231</v>
      </c>
      <c r="G208" s="1732" t="s">
        <v>2232</v>
      </c>
      <c r="H208" s="1732" t="s">
        <v>17</v>
      </c>
      <c r="I208" s="1732" t="s">
        <v>2232</v>
      </c>
      <c r="J208" t="s">
        <v>17</v>
      </c>
      <c r="K208" t="s">
        <v>2608</v>
      </c>
      <c r="L208" t="s">
        <v>2609</v>
      </c>
      <c r="M208" t="s">
        <v>2610</v>
      </c>
      <c r="N208" t="s">
        <v>394</v>
      </c>
    </row>
    <row r="209" spans="1:14" ht="11.25" customHeight="1">
      <c r="A209" s="1732" t="s">
        <v>2190</v>
      </c>
      <c r="B209" s="1732" t="s">
        <v>14</v>
      </c>
      <c r="C209" s="1732" t="s">
        <v>2233</v>
      </c>
      <c r="D209" s="1732" t="s">
        <v>2234</v>
      </c>
      <c r="E209" s="1732" t="s">
        <v>2235</v>
      </c>
      <c r="F209" s="1732" t="s">
        <v>2236</v>
      </c>
      <c r="G209" s="1732" t="s">
        <v>2237</v>
      </c>
      <c r="H209" s="1732" t="s">
        <v>17</v>
      </c>
      <c r="I209" s="1732" t="s">
        <v>2237</v>
      </c>
      <c r="J209" t="s">
        <v>17</v>
      </c>
      <c r="K209" t="s">
        <v>2608</v>
      </c>
      <c r="L209" t="s">
        <v>2609</v>
      </c>
      <c r="M209" t="s">
        <v>2610</v>
      </c>
      <c r="N209" t="s">
        <v>394</v>
      </c>
    </row>
    <row r="210" spans="1:14" ht="11.25" customHeight="1">
      <c r="A210" s="1732" t="s">
        <v>2190</v>
      </c>
      <c r="B210" s="1732" t="s">
        <v>14</v>
      </c>
      <c r="C210" s="1732" t="s">
        <v>2435</v>
      </c>
      <c r="D210" s="1732" t="s">
        <v>2436</v>
      </c>
      <c r="E210" s="1732" t="s">
        <v>2437</v>
      </c>
      <c r="F210" s="1732" t="s">
        <v>2224</v>
      </c>
      <c r="G210" s="1732" t="s">
        <v>2243</v>
      </c>
      <c r="H210" s="1732" t="s">
        <v>17</v>
      </c>
      <c r="I210" s="1732" t="s">
        <v>2612</v>
      </c>
      <c r="J210" t="s">
        <v>17</v>
      </c>
      <c r="K210" t="s">
        <v>2608</v>
      </c>
      <c r="L210" t="s">
        <v>2609</v>
      </c>
      <c r="M210" t="s">
        <v>2610</v>
      </c>
      <c r="N210" t="s">
        <v>394</v>
      </c>
    </row>
    <row r="211" spans="1:14" ht="11.25" customHeight="1">
      <c r="A211" s="1732" t="s">
        <v>2190</v>
      </c>
      <c r="B211" s="1732" t="s">
        <v>14</v>
      </c>
      <c r="C211" s="1732" t="s">
        <v>2444</v>
      </c>
      <c r="D211" s="1732" t="s">
        <v>2445</v>
      </c>
      <c r="E211" s="1732" t="s">
        <v>2446</v>
      </c>
      <c r="F211" s="1732" t="s">
        <v>2194</v>
      </c>
      <c r="G211" s="1732" t="s">
        <v>2447</v>
      </c>
      <c r="H211" s="1732" t="s">
        <v>17</v>
      </c>
      <c r="I211" s="1732" t="s">
        <v>2220</v>
      </c>
      <c r="J211" t="s">
        <v>17</v>
      </c>
      <c r="K211" t="s">
        <v>2613</v>
      </c>
      <c r="L211" t="s">
        <v>2614</v>
      </c>
      <c r="M211" t="s">
        <v>2615</v>
      </c>
      <c r="N211" t="s">
        <v>394</v>
      </c>
    </row>
    <row r="212" spans="1:14" ht="11.25" customHeight="1">
      <c r="A212" s="1732" t="s">
        <v>2190</v>
      </c>
      <c r="B212" s="1732" t="s">
        <v>14</v>
      </c>
      <c r="C212" s="1732" t="s">
        <v>2246</v>
      </c>
      <c r="D212" s="1732" t="s">
        <v>2247</v>
      </c>
      <c r="E212" s="1732" t="s">
        <v>2248</v>
      </c>
      <c r="F212" s="1732" t="s">
        <v>2231</v>
      </c>
      <c r="G212" s="1732" t="s">
        <v>2249</v>
      </c>
      <c r="H212" s="1732" t="s">
        <v>17</v>
      </c>
      <c r="I212" s="1732" t="s">
        <v>2249</v>
      </c>
      <c r="J212" t="s">
        <v>17</v>
      </c>
      <c r="K212" t="s">
        <v>2608</v>
      </c>
      <c r="L212" t="s">
        <v>2609</v>
      </c>
      <c r="M212" t="s">
        <v>2610</v>
      </c>
      <c r="N212" t="s">
        <v>394</v>
      </c>
    </row>
    <row r="213" spans="1:14" ht="11.25" customHeight="1">
      <c r="A213" s="1732" t="s">
        <v>2190</v>
      </c>
      <c r="B213" s="1732" t="s">
        <v>14</v>
      </c>
      <c r="C213" s="1732" t="s">
        <v>2246</v>
      </c>
      <c r="D213" s="1732" t="s">
        <v>2247</v>
      </c>
      <c r="E213" s="1732" t="s">
        <v>2248</v>
      </c>
      <c r="F213" s="1732" t="s">
        <v>2231</v>
      </c>
      <c r="G213" s="1732" t="s">
        <v>2249</v>
      </c>
      <c r="H213" s="1732" t="s">
        <v>17</v>
      </c>
      <c r="I213" s="1732" t="s">
        <v>2570</v>
      </c>
      <c r="J213" t="s">
        <v>17</v>
      </c>
      <c r="K213" t="s">
        <v>2608</v>
      </c>
      <c r="L213" t="s">
        <v>2609</v>
      </c>
      <c r="M213" t="s">
        <v>2610</v>
      </c>
      <c r="N213" t="s">
        <v>394</v>
      </c>
    </row>
    <row r="214" spans="1:14" ht="11.25" customHeight="1">
      <c r="A214" s="1732" t="s">
        <v>2190</v>
      </c>
      <c r="B214" s="1732" t="s">
        <v>14</v>
      </c>
      <c r="C214" s="1732" t="s">
        <v>2254</v>
      </c>
      <c r="D214" s="1732" t="s">
        <v>2255</v>
      </c>
      <c r="E214" s="1732" t="s">
        <v>2256</v>
      </c>
      <c r="F214" s="1732" t="s">
        <v>2241</v>
      </c>
      <c r="G214" s="1732" t="s">
        <v>2257</v>
      </c>
      <c r="H214" s="1732" t="s">
        <v>17</v>
      </c>
      <c r="I214" s="1732" t="s">
        <v>2616</v>
      </c>
      <c r="J214" t="s">
        <v>17</v>
      </c>
      <c r="K214" t="s">
        <v>2608</v>
      </c>
      <c r="L214" t="s">
        <v>2609</v>
      </c>
      <c r="M214" t="s">
        <v>2610</v>
      </c>
      <c r="N214" t="s">
        <v>394</v>
      </c>
    </row>
    <row r="215" spans="1:14" ht="11.25" customHeight="1">
      <c r="A215" s="1732" t="s">
        <v>2190</v>
      </c>
      <c r="B215" s="1732" t="s">
        <v>14</v>
      </c>
      <c r="C215" s="1732" t="s">
        <v>2466</v>
      </c>
      <c r="D215" s="1732" t="s">
        <v>2467</v>
      </c>
      <c r="E215" s="1732" t="s">
        <v>2468</v>
      </c>
      <c r="F215" s="1732" t="s">
        <v>2241</v>
      </c>
      <c r="G215" s="1732" t="s">
        <v>2469</v>
      </c>
      <c r="H215" s="1732" t="s">
        <v>17</v>
      </c>
      <c r="I215" s="1732" t="s">
        <v>2470</v>
      </c>
      <c r="J215" t="s">
        <v>17</v>
      </c>
      <c r="K215" t="s">
        <v>2613</v>
      </c>
      <c r="L215" t="s">
        <v>2617</v>
      </c>
      <c r="M215" t="s">
        <v>2618</v>
      </c>
      <c r="N215" t="s">
        <v>394</v>
      </c>
    </row>
    <row r="216" spans="1:14" ht="11.25" customHeight="1">
      <c r="A216" s="1732" t="s">
        <v>2190</v>
      </c>
      <c r="B216" s="1732" t="s">
        <v>14</v>
      </c>
      <c r="C216" s="1732" t="s">
        <v>2466</v>
      </c>
      <c r="D216" s="1732" t="s">
        <v>2467</v>
      </c>
      <c r="E216" s="1732" t="s">
        <v>2468</v>
      </c>
      <c r="F216" s="1732" t="s">
        <v>2241</v>
      </c>
      <c r="G216" s="1732" t="s">
        <v>2469</v>
      </c>
      <c r="H216" s="1732" t="s">
        <v>17</v>
      </c>
      <c r="I216" s="1732" t="s">
        <v>2473</v>
      </c>
      <c r="J216" t="s">
        <v>17</v>
      </c>
      <c r="K216" t="s">
        <v>2613</v>
      </c>
      <c r="L216" t="s">
        <v>2619</v>
      </c>
      <c r="M216" t="s">
        <v>2620</v>
      </c>
      <c r="N216" t="s">
        <v>394</v>
      </c>
    </row>
    <row r="217" spans="1:14" ht="11.25" customHeight="1">
      <c r="A217" s="1732" t="s">
        <v>2190</v>
      </c>
      <c r="B217" s="1732" t="s">
        <v>14</v>
      </c>
      <c r="C217" s="1732" t="s">
        <v>2476</v>
      </c>
      <c r="D217" s="1732" t="s">
        <v>2477</v>
      </c>
      <c r="E217" s="1732" t="s">
        <v>2478</v>
      </c>
      <c r="F217" s="1732" t="s">
        <v>2263</v>
      </c>
      <c r="G217" s="1732" t="s">
        <v>2479</v>
      </c>
      <c r="H217" s="1732" t="s">
        <v>17</v>
      </c>
      <c r="I217" s="1732" t="s">
        <v>2479</v>
      </c>
      <c r="J217" t="s">
        <v>17</v>
      </c>
      <c r="K217" t="s">
        <v>2608</v>
      </c>
      <c r="L217" t="s">
        <v>2621</v>
      </c>
      <c r="M217" t="s">
        <v>2622</v>
      </c>
      <c r="N217" t="s">
        <v>394</v>
      </c>
    </row>
    <row r="218" spans="1:14" ht="11.25" customHeight="1">
      <c r="A218" s="1732" t="s">
        <v>2190</v>
      </c>
      <c r="B218" s="1732" t="s">
        <v>14</v>
      </c>
      <c r="C218" s="1732" t="s">
        <v>2260</v>
      </c>
      <c r="D218" s="1732" t="s">
        <v>2261</v>
      </c>
      <c r="E218" s="1732" t="s">
        <v>2262</v>
      </c>
      <c r="F218" s="1732" t="s">
        <v>2263</v>
      </c>
      <c r="G218" s="1732" t="s">
        <v>2264</v>
      </c>
      <c r="H218" s="1732" t="s">
        <v>17</v>
      </c>
      <c r="I218" s="1732" t="s">
        <v>2264</v>
      </c>
      <c r="J218" t="s">
        <v>17</v>
      </c>
      <c r="K218" t="s">
        <v>2608</v>
      </c>
      <c r="L218" t="s">
        <v>2609</v>
      </c>
      <c r="M218" t="s">
        <v>2610</v>
      </c>
      <c r="N218" t="s">
        <v>394</v>
      </c>
    </row>
    <row r="219" spans="1:14" ht="11.25" customHeight="1">
      <c r="A219" s="1732" t="s">
        <v>2190</v>
      </c>
      <c r="B219" s="1732" t="s">
        <v>14</v>
      </c>
      <c r="C219" s="1732" t="s">
        <v>2265</v>
      </c>
      <c r="D219" s="1732" t="s">
        <v>2266</v>
      </c>
      <c r="E219" s="1732" t="s">
        <v>2267</v>
      </c>
      <c r="F219" s="1732" t="s">
        <v>2194</v>
      </c>
      <c r="G219" s="1732" t="s">
        <v>2268</v>
      </c>
      <c r="H219" s="1732" t="s">
        <v>17</v>
      </c>
      <c r="I219" s="1732" t="s">
        <v>2269</v>
      </c>
      <c r="J219" t="s">
        <v>17</v>
      </c>
      <c r="K219" t="s">
        <v>2613</v>
      </c>
      <c r="L219" t="s">
        <v>2614</v>
      </c>
      <c r="M219" t="s">
        <v>2615</v>
      </c>
      <c r="N219" t="s">
        <v>394</v>
      </c>
    </row>
    <row r="220" spans="1:14" ht="11.25" customHeight="1">
      <c r="A220" s="1732" t="s">
        <v>2190</v>
      </c>
      <c r="B220" s="1732" t="s">
        <v>14</v>
      </c>
      <c r="C220" s="1732" t="s">
        <v>2270</v>
      </c>
      <c r="D220" s="1732" t="s">
        <v>2271</v>
      </c>
      <c r="E220" s="1732" t="s">
        <v>2272</v>
      </c>
      <c r="F220" s="1732" t="s">
        <v>2273</v>
      </c>
      <c r="G220" s="1732" t="s">
        <v>2274</v>
      </c>
      <c r="H220" s="1732" t="s">
        <v>17</v>
      </c>
      <c r="I220" s="1732" t="s">
        <v>2480</v>
      </c>
      <c r="J220" t="s">
        <v>17</v>
      </c>
      <c r="K220" t="s">
        <v>2613</v>
      </c>
      <c r="L220" t="s">
        <v>2614</v>
      </c>
      <c r="M220" t="s">
        <v>2615</v>
      </c>
      <c r="N220" t="s">
        <v>394</v>
      </c>
    </row>
    <row r="221" spans="1:14" ht="11.25" customHeight="1">
      <c r="A221" s="1732" t="s">
        <v>2190</v>
      </c>
      <c r="B221" s="1732" t="s">
        <v>14</v>
      </c>
      <c r="C221" s="1732" t="s">
        <v>2276</v>
      </c>
      <c r="D221" s="1732" t="s">
        <v>2277</v>
      </c>
      <c r="E221" s="1732" t="s">
        <v>2278</v>
      </c>
      <c r="F221" s="1732" t="s">
        <v>2263</v>
      </c>
      <c r="G221" s="1732" t="s">
        <v>2279</v>
      </c>
      <c r="H221" s="1732" t="s">
        <v>17</v>
      </c>
      <c r="I221" s="1732" t="s">
        <v>2623</v>
      </c>
      <c r="J221" t="s">
        <v>17</v>
      </c>
      <c r="K221" t="s">
        <v>2613</v>
      </c>
      <c r="L221" t="s">
        <v>2614</v>
      </c>
      <c r="M221" t="s">
        <v>2615</v>
      </c>
      <c r="N221" t="s">
        <v>394</v>
      </c>
    </row>
    <row r="222" spans="1:14" ht="11.25" customHeight="1">
      <c r="A222" s="1732" t="s">
        <v>2190</v>
      </c>
      <c r="B222" s="1732" t="s">
        <v>14</v>
      </c>
      <c r="C222" s="1732" t="s">
        <v>2276</v>
      </c>
      <c r="D222" s="1732" t="s">
        <v>2277</v>
      </c>
      <c r="E222" s="1732" t="s">
        <v>2278</v>
      </c>
      <c r="F222" s="1732" t="s">
        <v>2263</v>
      </c>
      <c r="G222" s="1732" t="s">
        <v>2279</v>
      </c>
      <c r="H222" s="1732" t="s">
        <v>17</v>
      </c>
      <c r="I222" s="1732" t="s">
        <v>2623</v>
      </c>
      <c r="J222" t="s">
        <v>17</v>
      </c>
      <c r="K222" t="s">
        <v>2624</v>
      </c>
      <c r="L222" t="s">
        <v>2625</v>
      </c>
      <c r="M222" t="s">
        <v>2626</v>
      </c>
      <c r="N222" t="s">
        <v>394</v>
      </c>
    </row>
    <row r="223" spans="1:14" ht="11.25" customHeight="1">
      <c r="A223" s="1732" t="s">
        <v>2190</v>
      </c>
      <c r="B223" s="1732" t="s">
        <v>14</v>
      </c>
      <c r="C223" s="1732" t="s">
        <v>2495</v>
      </c>
      <c r="D223" s="1732" t="s">
        <v>2496</v>
      </c>
      <c r="E223" s="1732" t="s">
        <v>2497</v>
      </c>
      <c r="F223" s="1732" t="s">
        <v>2498</v>
      </c>
      <c r="G223" s="1732" t="s">
        <v>2499</v>
      </c>
      <c r="H223" s="1732" t="s">
        <v>17</v>
      </c>
      <c r="I223" s="1732" t="s">
        <v>2473</v>
      </c>
      <c r="J223" t="s">
        <v>17</v>
      </c>
      <c r="K223" t="s">
        <v>2608</v>
      </c>
      <c r="L223" t="s">
        <v>2609</v>
      </c>
      <c r="M223" t="s">
        <v>2610</v>
      </c>
      <c r="N223" t="s">
        <v>394</v>
      </c>
    </row>
    <row r="224" spans="1:14" ht="11.25" customHeight="1">
      <c r="A224" s="1732" t="s">
        <v>2190</v>
      </c>
      <c r="B224" s="1732" t="s">
        <v>14</v>
      </c>
      <c r="C224" s="1732" t="s">
        <v>2504</v>
      </c>
      <c r="D224" s="1732" t="s">
        <v>2505</v>
      </c>
      <c r="E224" s="1732" t="s">
        <v>2506</v>
      </c>
      <c r="F224" s="1732" t="s">
        <v>2273</v>
      </c>
      <c r="G224" s="1732" t="s">
        <v>2507</v>
      </c>
      <c r="H224" s="1732" t="s">
        <v>17</v>
      </c>
      <c r="I224" s="1732" t="s">
        <v>2510</v>
      </c>
      <c r="J224" t="s">
        <v>17</v>
      </c>
      <c r="K224" t="s">
        <v>2608</v>
      </c>
      <c r="L224" t="s">
        <v>2609</v>
      </c>
      <c r="M224" t="s">
        <v>2610</v>
      </c>
      <c r="N224" t="s">
        <v>394</v>
      </c>
    </row>
    <row r="225" spans="1:14" ht="11.25" customHeight="1">
      <c r="A225" s="1732" t="s">
        <v>2190</v>
      </c>
      <c r="B225" s="1732" t="s">
        <v>14</v>
      </c>
      <c r="C225" s="1732" t="s">
        <v>2511</v>
      </c>
      <c r="D225" s="1732" t="s">
        <v>2512</v>
      </c>
      <c r="E225" s="1732" t="s">
        <v>2513</v>
      </c>
      <c r="F225" s="1732" t="s">
        <v>2194</v>
      </c>
      <c r="G225" s="1732" t="s">
        <v>2514</v>
      </c>
      <c r="H225" s="1732" t="s">
        <v>17</v>
      </c>
      <c r="I225" s="1732" t="s">
        <v>2269</v>
      </c>
      <c r="J225" t="s">
        <v>17</v>
      </c>
      <c r="K225" t="s">
        <v>2613</v>
      </c>
      <c r="L225" t="s">
        <v>2614</v>
      </c>
      <c r="M225" t="s">
        <v>2615</v>
      </c>
      <c r="N225" t="s">
        <v>394</v>
      </c>
    </row>
    <row r="226" spans="1:14" ht="11.25" customHeight="1">
      <c r="A226" s="1732" t="s">
        <v>2190</v>
      </c>
      <c r="B226" s="1732" t="s">
        <v>14</v>
      </c>
      <c r="C226" s="1732" t="s">
        <v>2515</v>
      </c>
      <c r="D226" s="1732" t="s">
        <v>2516</v>
      </c>
      <c r="E226" s="1732" t="s">
        <v>2517</v>
      </c>
      <c r="F226" s="1732" t="s">
        <v>2518</v>
      </c>
      <c r="G226" s="1732" t="s">
        <v>2519</v>
      </c>
      <c r="H226" s="1732" t="s">
        <v>17</v>
      </c>
      <c r="I226" s="1732" t="s">
        <v>2519</v>
      </c>
      <c r="J226" t="s">
        <v>17</v>
      </c>
      <c r="K226" t="s">
        <v>2608</v>
      </c>
      <c r="L226" t="s">
        <v>2609</v>
      </c>
      <c r="M226" t="s">
        <v>2610</v>
      </c>
      <c r="N226" t="s">
        <v>394</v>
      </c>
    </row>
    <row r="227" spans="1:14" ht="11.25" customHeight="1">
      <c r="A227" s="1732" t="s">
        <v>2190</v>
      </c>
      <c r="B227" s="1732" t="s">
        <v>14</v>
      </c>
      <c r="C227" s="1732" t="s">
        <v>2280</v>
      </c>
      <c r="D227" s="1732" t="s">
        <v>2281</v>
      </c>
      <c r="E227" s="1732" t="s">
        <v>2282</v>
      </c>
      <c r="F227" s="1732" t="s">
        <v>2194</v>
      </c>
      <c r="G227" s="1732" t="s">
        <v>2283</v>
      </c>
      <c r="H227" s="1732" t="s">
        <v>17</v>
      </c>
      <c r="I227" s="1732" t="s">
        <v>2522</v>
      </c>
      <c r="J227" t="s">
        <v>17</v>
      </c>
      <c r="K227" t="s">
        <v>2608</v>
      </c>
      <c r="L227" t="s">
        <v>2609</v>
      </c>
      <c r="M227" t="s">
        <v>2610</v>
      </c>
      <c r="N227" t="s">
        <v>394</v>
      </c>
    </row>
    <row r="228" spans="1:14" ht="11.25" customHeight="1">
      <c r="A228" s="1732" t="s">
        <v>2190</v>
      </c>
      <c r="B228" s="1732" t="s">
        <v>14</v>
      </c>
      <c r="C228" s="1732" t="s">
        <v>2523</v>
      </c>
      <c r="D228" s="1732" t="s">
        <v>2524</v>
      </c>
      <c r="E228" s="1732" t="s">
        <v>2525</v>
      </c>
      <c r="F228" s="1732" t="s">
        <v>2231</v>
      </c>
      <c r="G228" s="1732" t="s">
        <v>2526</v>
      </c>
      <c r="H228" s="1732" t="s">
        <v>17</v>
      </c>
      <c r="I228" s="1732" t="s">
        <v>2527</v>
      </c>
      <c r="J228" t="s">
        <v>17</v>
      </c>
      <c r="K228" t="s">
        <v>2613</v>
      </c>
      <c r="L228" t="s">
        <v>2614</v>
      </c>
      <c r="M228" t="s">
        <v>2615</v>
      </c>
      <c r="N228" t="s">
        <v>394</v>
      </c>
    </row>
    <row r="229" spans="1:14" ht="11.25" customHeight="1">
      <c r="A229" s="1732" t="s">
        <v>2190</v>
      </c>
      <c r="B229" s="1732" t="s">
        <v>14</v>
      </c>
      <c r="C229" s="1732" t="s">
        <v>2290</v>
      </c>
      <c r="D229" s="1732" t="s">
        <v>2291</v>
      </c>
      <c r="E229" s="1732" t="s">
        <v>2292</v>
      </c>
      <c r="F229" s="1732" t="s">
        <v>2231</v>
      </c>
      <c r="G229" s="1732" t="s">
        <v>17</v>
      </c>
      <c r="H229" s="1732" t="s">
        <v>17</v>
      </c>
      <c r="I229" s="1732" t="s">
        <v>2528</v>
      </c>
      <c r="J229" t="s">
        <v>17</v>
      </c>
      <c r="K229" t="s">
        <v>2608</v>
      </c>
      <c r="L229" t="s">
        <v>2609</v>
      </c>
      <c r="M229" t="s">
        <v>2610</v>
      </c>
      <c r="N229" t="s">
        <v>394</v>
      </c>
    </row>
    <row r="230" spans="1:14" ht="11.25" customHeight="1">
      <c r="A230" s="1732" t="s">
        <v>2190</v>
      </c>
      <c r="B230" s="1732" t="s">
        <v>14</v>
      </c>
      <c r="C230" s="1732" t="s">
        <v>2294</v>
      </c>
      <c r="D230" s="1732" t="s">
        <v>2295</v>
      </c>
      <c r="E230" s="1732" t="s">
        <v>2296</v>
      </c>
      <c r="F230" s="1732" t="s">
        <v>2297</v>
      </c>
      <c r="G230" s="1732" t="s">
        <v>2298</v>
      </c>
      <c r="H230" s="1732" t="s">
        <v>17</v>
      </c>
      <c r="I230" s="1732" t="s">
        <v>2298</v>
      </c>
      <c r="J230" t="s">
        <v>17</v>
      </c>
      <c r="K230" t="s">
        <v>2608</v>
      </c>
      <c r="L230" t="s">
        <v>2609</v>
      </c>
      <c r="M230" t="s">
        <v>2610</v>
      </c>
      <c r="N230" t="s">
        <v>394</v>
      </c>
    </row>
    <row r="231" spans="1:14" ht="11.25" customHeight="1">
      <c r="A231" s="1732" t="s">
        <v>2190</v>
      </c>
      <c r="B231" s="1732" t="s">
        <v>14</v>
      </c>
      <c r="C231" s="1732" t="s">
        <v>2534</v>
      </c>
      <c r="D231" s="1732" t="s">
        <v>2535</v>
      </c>
      <c r="E231" s="1732" t="s">
        <v>2536</v>
      </c>
      <c r="F231" s="1732" t="s">
        <v>2241</v>
      </c>
      <c r="G231" s="1732" t="s">
        <v>17</v>
      </c>
      <c r="H231" s="1732" t="s">
        <v>17</v>
      </c>
      <c r="I231" s="1732" t="s">
        <v>2627</v>
      </c>
      <c r="J231" t="s">
        <v>17</v>
      </c>
      <c r="K231" t="s">
        <v>2613</v>
      </c>
      <c r="L231" t="s">
        <v>2614</v>
      </c>
      <c r="M231" t="s">
        <v>2615</v>
      </c>
      <c r="N231" t="s">
        <v>394</v>
      </c>
    </row>
    <row r="232" spans="1:14" ht="11.25" customHeight="1">
      <c r="A232" s="1732" t="s">
        <v>2190</v>
      </c>
      <c r="B232" s="1732" t="s">
        <v>14</v>
      </c>
      <c r="C232" s="1732" t="s">
        <v>2300</v>
      </c>
      <c r="D232" s="1732" t="s">
        <v>2301</v>
      </c>
      <c r="E232" s="1732" t="s">
        <v>2302</v>
      </c>
      <c r="F232" s="1732" t="s">
        <v>2241</v>
      </c>
      <c r="G232" s="1732" t="s">
        <v>2303</v>
      </c>
      <c r="H232" s="1732" t="s">
        <v>17</v>
      </c>
      <c r="I232" s="1732" t="s">
        <v>2303</v>
      </c>
      <c r="J232" t="s">
        <v>17</v>
      </c>
      <c r="K232" t="s">
        <v>2608</v>
      </c>
      <c r="L232" t="s">
        <v>2609</v>
      </c>
      <c r="M232" t="s">
        <v>2610</v>
      </c>
      <c r="N232" t="s">
        <v>394</v>
      </c>
    </row>
    <row r="233" spans="1:14" ht="11.25" customHeight="1">
      <c r="A233" s="1732" t="s">
        <v>2190</v>
      </c>
      <c r="B233" s="1732" t="s">
        <v>14</v>
      </c>
      <c r="C233" s="1732" t="s">
        <v>2305</v>
      </c>
      <c r="D233" s="1732" t="s">
        <v>2306</v>
      </c>
      <c r="E233" s="1732" t="s">
        <v>2307</v>
      </c>
      <c r="F233" s="1732" t="s">
        <v>2241</v>
      </c>
      <c r="G233" s="1732" t="s">
        <v>17</v>
      </c>
      <c r="H233" s="1732" t="s">
        <v>17</v>
      </c>
      <c r="I233" s="1732" t="s">
        <v>2308</v>
      </c>
      <c r="J233" t="s">
        <v>17</v>
      </c>
      <c r="K233" t="s">
        <v>2613</v>
      </c>
      <c r="L233" t="s">
        <v>2614</v>
      </c>
      <c r="M233" t="s">
        <v>2615</v>
      </c>
      <c r="N233" t="s">
        <v>394</v>
      </c>
    </row>
    <row r="234" spans="1:14" ht="11.25" customHeight="1">
      <c r="A234" s="1732" t="s">
        <v>2190</v>
      </c>
      <c r="B234" s="1732" t="s">
        <v>14</v>
      </c>
      <c r="C234" s="1732" t="s">
        <v>2305</v>
      </c>
      <c r="D234" s="1732" t="s">
        <v>2306</v>
      </c>
      <c r="E234" s="1732" t="s">
        <v>2307</v>
      </c>
      <c r="F234" s="1732" t="s">
        <v>2241</v>
      </c>
      <c r="G234" s="1732" t="s">
        <v>17</v>
      </c>
      <c r="H234" s="1732" t="s">
        <v>17</v>
      </c>
      <c r="I234" s="1732" t="s">
        <v>2628</v>
      </c>
      <c r="J234" t="s">
        <v>17</v>
      </c>
      <c r="K234" t="s">
        <v>2629</v>
      </c>
      <c r="L234" t="s">
        <v>2630</v>
      </c>
      <c r="M234" t="s">
        <v>2631</v>
      </c>
      <c r="N234" t="s">
        <v>394</v>
      </c>
    </row>
    <row r="235" spans="1:14" ht="11.25" customHeight="1">
      <c r="A235" s="1732" t="s">
        <v>2190</v>
      </c>
      <c r="B235" s="1732" t="s">
        <v>14</v>
      </c>
      <c r="C235" s="1732" t="s">
        <v>2562</v>
      </c>
      <c r="D235" s="1732" t="s">
        <v>2563</v>
      </c>
      <c r="E235" s="1732" t="s">
        <v>2564</v>
      </c>
      <c r="F235" s="1732" t="s">
        <v>2194</v>
      </c>
      <c r="G235" s="1732" t="s">
        <v>2565</v>
      </c>
      <c r="H235" s="1732" t="s">
        <v>17</v>
      </c>
      <c r="I235" s="1732" t="s">
        <v>2565</v>
      </c>
      <c r="J235" t="s">
        <v>17</v>
      </c>
      <c r="K235" t="s">
        <v>2608</v>
      </c>
      <c r="L235" t="s">
        <v>2609</v>
      </c>
      <c r="M235" t="s">
        <v>2610</v>
      </c>
      <c r="N235" t="s">
        <v>394</v>
      </c>
    </row>
    <row r="236" spans="1:14" ht="11.25" customHeight="1">
      <c r="A236" s="1732" t="s">
        <v>2190</v>
      </c>
      <c r="B236" s="1732" t="s">
        <v>14</v>
      </c>
      <c r="C236" s="1732" t="s">
        <v>2566</v>
      </c>
      <c r="D236" s="1732" t="s">
        <v>2567</v>
      </c>
      <c r="E236" s="1732" t="s">
        <v>2568</v>
      </c>
      <c r="F236" s="1732" t="s">
        <v>2224</v>
      </c>
      <c r="G236" s="1732" t="s">
        <v>2569</v>
      </c>
      <c r="H236" s="1732" t="s">
        <v>17</v>
      </c>
      <c r="I236" s="1732" t="s">
        <v>2570</v>
      </c>
      <c r="J236" t="s">
        <v>17</v>
      </c>
      <c r="K236" t="s">
        <v>2624</v>
      </c>
      <c r="L236" t="s">
        <v>2625</v>
      </c>
      <c r="M236" t="s">
        <v>2626</v>
      </c>
      <c r="N236" t="s">
        <v>394</v>
      </c>
    </row>
    <row r="237" spans="1:14" ht="11.25" customHeight="1">
      <c r="A237" s="1732" t="s">
        <v>2190</v>
      </c>
      <c r="B237" s="1732" t="s">
        <v>14</v>
      </c>
      <c r="C237" s="1732" t="s">
        <v>2566</v>
      </c>
      <c r="D237" s="1732" t="s">
        <v>2567</v>
      </c>
      <c r="E237" s="1732" t="s">
        <v>2568</v>
      </c>
      <c r="F237" s="1732" t="s">
        <v>2224</v>
      </c>
      <c r="G237" s="1732" t="s">
        <v>2569</v>
      </c>
      <c r="H237" s="1732" t="s">
        <v>17</v>
      </c>
      <c r="I237" s="1732" t="s">
        <v>2632</v>
      </c>
      <c r="J237" t="s">
        <v>17</v>
      </c>
      <c r="K237" t="s">
        <v>2613</v>
      </c>
      <c r="L237" t="s">
        <v>2619</v>
      </c>
      <c r="M237" t="s">
        <v>2620</v>
      </c>
      <c r="N237" t="s">
        <v>394</v>
      </c>
    </row>
    <row r="238" spans="1:14" ht="11.25" customHeight="1">
      <c r="A238" s="1732" t="s">
        <v>2190</v>
      </c>
      <c r="B238" s="1732" t="s">
        <v>14</v>
      </c>
      <c r="C238" s="1732" t="s">
        <v>2566</v>
      </c>
      <c r="D238" s="1732" t="s">
        <v>2567</v>
      </c>
      <c r="E238" s="1732" t="s">
        <v>2568</v>
      </c>
      <c r="F238" s="1732" t="s">
        <v>2224</v>
      </c>
      <c r="G238" s="1732" t="s">
        <v>2569</v>
      </c>
      <c r="H238" s="1732" t="s">
        <v>17</v>
      </c>
      <c r="I238" s="1732" t="s">
        <v>2369</v>
      </c>
      <c r="J238" t="s">
        <v>17</v>
      </c>
      <c r="K238" t="s">
        <v>2608</v>
      </c>
      <c r="L238" t="s">
        <v>2609</v>
      </c>
      <c r="M238" t="s">
        <v>2610</v>
      </c>
      <c r="N238" t="s">
        <v>394</v>
      </c>
    </row>
    <row r="239" spans="1:14" ht="11.25" customHeight="1">
      <c r="A239" s="1732" t="s">
        <v>2190</v>
      </c>
      <c r="B239" s="1732" t="s">
        <v>14</v>
      </c>
      <c r="C239" s="1732" t="s">
        <v>2574</v>
      </c>
      <c r="D239" s="1732" t="s">
        <v>2575</v>
      </c>
      <c r="E239" s="1732" t="s">
        <v>2576</v>
      </c>
      <c r="F239" s="1732" t="s">
        <v>2518</v>
      </c>
      <c r="G239" s="1732" t="s">
        <v>2577</v>
      </c>
      <c r="H239" s="1732" t="s">
        <v>17</v>
      </c>
      <c r="I239" s="1732" t="s">
        <v>2577</v>
      </c>
      <c r="J239" t="s">
        <v>17</v>
      </c>
      <c r="K239" t="s">
        <v>2613</v>
      </c>
      <c r="L239" t="s">
        <v>2614</v>
      </c>
      <c r="M239" t="s">
        <v>2615</v>
      </c>
      <c r="N239" t="s">
        <v>394</v>
      </c>
    </row>
    <row r="240" spans="1:14" ht="11.25" customHeight="1">
      <c r="A240" s="1732" t="s">
        <v>2190</v>
      </c>
      <c r="B240" s="1732" t="s">
        <v>14</v>
      </c>
      <c r="C240" s="1732" t="s">
        <v>2603</v>
      </c>
      <c r="D240" s="1732" t="s">
        <v>2604</v>
      </c>
      <c r="E240" s="1732" t="s">
        <v>2605</v>
      </c>
      <c r="F240" s="1732" t="s">
        <v>2224</v>
      </c>
      <c r="G240" s="1732" t="s">
        <v>2606</v>
      </c>
      <c r="H240" s="1732" t="s">
        <v>17</v>
      </c>
      <c r="I240" s="1732" t="s">
        <v>2607</v>
      </c>
      <c r="J240" t="s">
        <v>17</v>
      </c>
      <c r="K240" t="s">
        <v>2613</v>
      </c>
      <c r="L240" t="s">
        <v>2614</v>
      </c>
      <c r="M240" t="s">
        <v>2615</v>
      </c>
      <c r="N240" t="s">
        <v>394</v>
      </c>
    </row>
    <row r="241" spans="1:14" ht="11.25" customHeight="1">
      <c r="A241" s="1732" t="s">
        <v>2190</v>
      </c>
      <c r="B241" s="1732" t="s">
        <v>14</v>
      </c>
      <c r="C241" s="1732" t="s">
        <v>2370</v>
      </c>
      <c r="D241" s="1732" t="s">
        <v>2371</v>
      </c>
      <c r="E241" s="1732" t="s">
        <v>2372</v>
      </c>
      <c r="F241" s="1732" t="s">
        <v>2373</v>
      </c>
      <c r="G241" s="1732" t="s">
        <v>2374</v>
      </c>
      <c r="H241" s="1732" t="s">
        <v>17</v>
      </c>
      <c r="I241" s="1732" t="s">
        <v>2220</v>
      </c>
      <c r="J241" t="s">
        <v>17</v>
      </c>
      <c r="K241" t="s">
        <v>2608</v>
      </c>
      <c r="L241" t="s">
        <v>2609</v>
      </c>
      <c r="M241" t="s">
        <v>2610</v>
      </c>
      <c r="N241" t="s">
        <v>394</v>
      </c>
    </row>
    <row r="242" spans="1:14" ht="11.25" customHeight="1">
      <c r="A242" s="1732" t="s">
        <v>2190</v>
      </c>
      <c r="B242" s="1732" t="s">
        <v>14</v>
      </c>
      <c r="C242" s="1732" t="s">
        <v>2633</v>
      </c>
      <c r="D242" s="1732" t="s">
        <v>2634</v>
      </c>
      <c r="E242" s="1732" t="s">
        <v>2635</v>
      </c>
      <c r="F242" s="1732" t="s">
        <v>2636</v>
      </c>
      <c r="G242" s="1732" t="s">
        <v>17</v>
      </c>
      <c r="H242" s="1732" t="s">
        <v>17</v>
      </c>
      <c r="I242" s="1732" t="s">
        <v>2637</v>
      </c>
      <c r="J242" t="s">
        <v>17</v>
      </c>
      <c r="K242" t="s">
        <v>2608</v>
      </c>
      <c r="L242" t="s">
        <v>2609</v>
      </c>
      <c r="M242" t="s">
        <v>2610</v>
      </c>
      <c r="N242" t="s">
        <v>394</v>
      </c>
    </row>
    <row r="243" spans="1:14" ht="11.25" customHeight="1">
      <c r="A243" s="1732" t="s">
        <v>2190</v>
      </c>
      <c r="B243" s="1732" t="s">
        <v>14</v>
      </c>
      <c r="C243" s="1732" t="s">
        <v>2376</v>
      </c>
      <c r="D243" s="1732" t="s">
        <v>2377</v>
      </c>
      <c r="E243" s="1732" t="s">
        <v>2378</v>
      </c>
      <c r="F243" s="1732" t="s">
        <v>2379</v>
      </c>
      <c r="G243" s="1732" t="s">
        <v>2380</v>
      </c>
      <c r="H243" s="1732" t="s">
        <v>17</v>
      </c>
      <c r="I243" s="1732" t="s">
        <v>2465</v>
      </c>
      <c r="J243" t="s">
        <v>17</v>
      </c>
      <c r="K243" t="s">
        <v>2608</v>
      </c>
      <c r="L243" t="s">
        <v>2609</v>
      </c>
      <c r="M243" t="s">
        <v>2610</v>
      </c>
      <c r="N243" t="s">
        <v>394</v>
      </c>
    </row>
    <row r="244" spans="1:14" ht="11.25" customHeight="1">
      <c r="A244" s="1732" t="s">
        <v>2190</v>
      </c>
      <c r="B244" s="1732" t="s">
        <v>14</v>
      </c>
      <c r="C244" s="1732" t="s">
        <v>2638</v>
      </c>
      <c r="D244" s="1732" t="s">
        <v>2639</v>
      </c>
      <c r="E244" s="1732" t="s">
        <v>2640</v>
      </c>
      <c r="F244" s="1732" t="s">
        <v>1427</v>
      </c>
      <c r="G244" s="1732" t="s">
        <v>17</v>
      </c>
      <c r="H244" s="1732" t="s">
        <v>17</v>
      </c>
      <c r="I244" s="1732" t="s">
        <v>2641</v>
      </c>
      <c r="J244" t="s">
        <v>17</v>
      </c>
      <c r="K244" t="s">
        <v>2642</v>
      </c>
      <c r="L244" t="s">
        <v>2642</v>
      </c>
      <c r="M244" t="s">
        <v>2643</v>
      </c>
      <c r="N244" t="s">
        <v>396</v>
      </c>
    </row>
    <row r="245" spans="1:14" ht="11.25" customHeight="1">
      <c r="A245" s="1732" t="s">
        <v>2190</v>
      </c>
      <c r="B245" s="1732" t="s">
        <v>14</v>
      </c>
      <c r="C245" s="1732" t="s">
        <v>2644</v>
      </c>
      <c r="D245" s="1732" t="s">
        <v>2645</v>
      </c>
      <c r="E245" s="1732" t="s">
        <v>2646</v>
      </c>
      <c r="F245" s="1732" t="s">
        <v>2241</v>
      </c>
      <c r="G245" s="1732" t="s">
        <v>2647</v>
      </c>
      <c r="H245" s="1732" t="s">
        <v>17</v>
      </c>
      <c r="I245" s="1732" t="s">
        <v>2647</v>
      </c>
      <c r="J245" t="s">
        <v>17</v>
      </c>
      <c r="K245" t="s">
        <v>1063</v>
      </c>
      <c r="L245" t="s">
        <v>1063</v>
      </c>
      <c r="M245" t="s">
        <v>2648</v>
      </c>
      <c r="N245" t="s">
        <v>396</v>
      </c>
    </row>
    <row r="246" spans="1:14" ht="11.25" customHeight="1">
      <c r="A246" s="1732" t="s">
        <v>2190</v>
      </c>
      <c r="B246" s="1732" t="s">
        <v>14</v>
      </c>
      <c r="C246" s="1732" t="s">
        <v>2649</v>
      </c>
      <c r="D246" s="1732" t="s">
        <v>2650</v>
      </c>
      <c r="E246" s="1732" t="s">
        <v>2651</v>
      </c>
      <c r="F246" s="1732" t="s">
        <v>2652</v>
      </c>
      <c r="G246" s="1732" t="s">
        <v>2653</v>
      </c>
      <c r="H246" s="1732" t="s">
        <v>17</v>
      </c>
      <c r="I246" s="1732" t="s">
        <v>2313</v>
      </c>
      <c r="J246" t="s">
        <v>17</v>
      </c>
      <c r="K246" t="s">
        <v>1063</v>
      </c>
      <c r="L246" t="s">
        <v>1063</v>
      </c>
      <c r="M246" t="s">
        <v>2648</v>
      </c>
      <c r="N246" t="s">
        <v>396</v>
      </c>
    </row>
    <row r="247" spans="1:14" ht="11.25" customHeight="1">
      <c r="A247" s="1732" t="s">
        <v>2190</v>
      </c>
      <c r="B247" s="1732" t="s">
        <v>14</v>
      </c>
      <c r="C247" s="1732" t="s">
        <v>2654</v>
      </c>
      <c r="D247" s="1732" t="s">
        <v>2655</v>
      </c>
      <c r="E247" s="1732" t="s">
        <v>2656</v>
      </c>
      <c r="F247" s="1732" t="s">
        <v>2657</v>
      </c>
      <c r="G247" s="1732" t="s">
        <v>2658</v>
      </c>
      <c r="H247" s="1732" t="s">
        <v>17</v>
      </c>
      <c r="I247" s="1732" t="s">
        <v>2659</v>
      </c>
      <c r="J247" t="s">
        <v>17</v>
      </c>
      <c r="K247" t="s">
        <v>285</v>
      </c>
      <c r="L247" t="s">
        <v>285</v>
      </c>
      <c r="M247" t="s">
        <v>2660</v>
      </c>
      <c r="N247" t="s">
        <v>396</v>
      </c>
    </row>
    <row r="248" spans="1:14" ht="11.25" customHeight="1">
      <c r="A248" s="1732" t="s">
        <v>2190</v>
      </c>
      <c r="B248" s="1732" t="s">
        <v>14</v>
      </c>
      <c r="C248" s="1732" t="s">
        <v>2654</v>
      </c>
      <c r="D248" s="1732" t="s">
        <v>2655</v>
      </c>
      <c r="E248" s="1732" t="s">
        <v>2656</v>
      </c>
      <c r="F248" s="1732" t="s">
        <v>2657</v>
      </c>
      <c r="G248" s="1732" t="s">
        <v>2658</v>
      </c>
      <c r="H248" s="1732" t="s">
        <v>17</v>
      </c>
      <c r="I248" s="1732" t="s">
        <v>2661</v>
      </c>
      <c r="J248" t="s">
        <v>17</v>
      </c>
      <c r="K248" t="s">
        <v>1063</v>
      </c>
      <c r="L248" t="s">
        <v>2662</v>
      </c>
      <c r="M248" t="s">
        <v>2663</v>
      </c>
      <c r="N248" t="s">
        <v>396</v>
      </c>
    </row>
    <row r="249" spans="1:14" ht="11.25" customHeight="1">
      <c r="A249" s="1732" t="s">
        <v>2190</v>
      </c>
      <c r="B249" s="1732" t="s">
        <v>14</v>
      </c>
      <c r="C249" s="1732" t="s">
        <v>2654</v>
      </c>
      <c r="D249" s="1732" t="s">
        <v>2655</v>
      </c>
      <c r="E249" s="1732" t="s">
        <v>2656</v>
      </c>
      <c r="F249" s="1732" t="s">
        <v>2657</v>
      </c>
      <c r="G249" s="1732" t="s">
        <v>2658</v>
      </c>
      <c r="H249" s="1732" t="s">
        <v>17</v>
      </c>
      <c r="I249" s="1732" t="s">
        <v>2661</v>
      </c>
      <c r="J249" t="s">
        <v>17</v>
      </c>
      <c r="K249" t="s">
        <v>1082</v>
      </c>
      <c r="L249" t="s">
        <v>2662</v>
      </c>
      <c r="M249" t="s">
        <v>2663</v>
      </c>
      <c r="N249" t="s">
        <v>396</v>
      </c>
    </row>
    <row r="250" spans="1:14" ht="11.25" customHeight="1">
      <c r="A250" s="1732" t="s">
        <v>2190</v>
      </c>
      <c r="B250" s="1732" t="s">
        <v>14</v>
      </c>
      <c r="C250" s="1732" t="s">
        <v>2664</v>
      </c>
      <c r="D250" s="1732" t="s">
        <v>2665</v>
      </c>
      <c r="E250" s="1732" t="s">
        <v>2666</v>
      </c>
      <c r="F250" s="1732" t="s">
        <v>2667</v>
      </c>
      <c r="G250" s="1732" t="s">
        <v>17</v>
      </c>
      <c r="H250" s="1732" t="s">
        <v>17</v>
      </c>
      <c r="I250" s="1732" t="s">
        <v>2313</v>
      </c>
      <c r="J250" t="s">
        <v>17</v>
      </c>
      <c r="K250" t="s">
        <v>285</v>
      </c>
      <c r="L250" t="s">
        <v>285</v>
      </c>
      <c r="M250" t="s">
        <v>2660</v>
      </c>
      <c r="N250" t="s">
        <v>396</v>
      </c>
    </row>
  </sheetData>
  <sheetProtection formatColumns="0" formatRows="0" insertRows="0" deleteColumns="0" deleteRows="0" sort="0" autoFilter="0"/>
  <pageMargins left="0.75" right="0.75" top="1" bottom="1" header="0.5" footer="0.5"/>
  <pageSetup orientation="portrait"/>
  <headerFooter>
    <oddHeader>&amp;L&amp;C&amp;R</oddHeader>
    <oddFooter>&amp;L&amp;C&amp;R</oddFooter>
    <evenHeader>&amp;L&amp;C&amp;R</evenHeader>
    <evenFooter>&amp;L&amp;C&amp;R</evenFooter>
  </headerFooter>
</worksheet>
</file>

<file path=xl/worksheets/sheet7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C99"/>
  </sheetPr>
  <dimension ref="A1:G141"/>
  <sheetViews>
    <sheetView showGridLines="0" workbookViewId="0"/>
  </sheetViews>
  <sheetFormatPr defaultRowHeight="11.25" customHeight="1"/>
  <cols>
    <col min="1" max="1" width="9.140625" style="1969"/>
  </cols>
  <sheetData>
    <row r="1" spans="1:7" ht="11.25" customHeight="1">
      <c r="A1" s="300" t="s">
        <v>2668</v>
      </c>
      <c r="B1" s="5" t="s">
        <v>2669</v>
      </c>
      <c r="C1" s="5" t="s">
        <v>2670</v>
      </c>
      <c r="D1" s="5" t="s">
        <v>2671</v>
      </c>
      <c r="E1" s="4" t="s">
        <v>2672</v>
      </c>
      <c r="F1" s="4" t="s">
        <v>2673</v>
      </c>
      <c r="G1" s="4" t="s">
        <v>2674</v>
      </c>
    </row>
    <row r="2" spans="1:7" ht="11.25" customHeight="1">
      <c r="A2" s="300" t="s">
        <v>14</v>
      </c>
      <c r="B2" t="s">
        <v>2675</v>
      </c>
      <c r="C2" t="s">
        <v>2676</v>
      </c>
      <c r="D2" t="s">
        <v>2675</v>
      </c>
      <c r="E2" t="s">
        <v>2676</v>
      </c>
      <c r="F2" t="s">
        <v>2677</v>
      </c>
      <c r="G2" t="s">
        <v>108</v>
      </c>
    </row>
    <row r="3" spans="1:7" ht="11.25" customHeight="1">
      <c r="A3" s="300" t="s">
        <v>14</v>
      </c>
      <c r="B3" t="s">
        <v>2675</v>
      </c>
      <c r="C3" t="s">
        <v>2676</v>
      </c>
      <c r="D3" t="s">
        <v>2678</v>
      </c>
      <c r="E3" t="s">
        <v>2679</v>
      </c>
      <c r="F3" t="s">
        <v>2680</v>
      </c>
      <c r="G3" t="s">
        <v>109</v>
      </c>
    </row>
    <row r="4" spans="1:7" ht="11.25" customHeight="1">
      <c r="A4" s="300" t="s">
        <v>14</v>
      </c>
      <c r="B4" t="s">
        <v>2675</v>
      </c>
      <c r="C4" t="s">
        <v>2676</v>
      </c>
      <c r="D4" t="s">
        <v>2681</v>
      </c>
      <c r="E4" t="s">
        <v>2682</v>
      </c>
      <c r="F4" t="s">
        <v>2683</v>
      </c>
      <c r="G4" t="s">
        <v>89</v>
      </c>
    </row>
    <row r="5" spans="1:7" ht="11.25" customHeight="1">
      <c r="A5" s="300" t="s">
        <v>14</v>
      </c>
      <c r="B5" t="s">
        <v>2675</v>
      </c>
      <c r="C5" t="s">
        <v>2676</v>
      </c>
      <c r="D5" t="s">
        <v>2684</v>
      </c>
      <c r="E5" t="s">
        <v>2685</v>
      </c>
      <c r="F5" t="s">
        <v>2680</v>
      </c>
      <c r="G5" t="s">
        <v>90</v>
      </c>
    </row>
    <row r="6" spans="1:7" ht="11.25" customHeight="1">
      <c r="A6" s="300" t="s">
        <v>14</v>
      </c>
      <c r="B6" t="s">
        <v>2675</v>
      </c>
      <c r="C6" t="s">
        <v>2676</v>
      </c>
      <c r="D6" t="s">
        <v>2686</v>
      </c>
      <c r="E6" t="s">
        <v>2687</v>
      </c>
      <c r="F6" t="s">
        <v>2680</v>
      </c>
      <c r="G6" t="s">
        <v>110</v>
      </c>
    </row>
    <row r="7" spans="1:7" ht="11.25" customHeight="1">
      <c r="A7" s="300" t="s">
        <v>14</v>
      </c>
      <c r="B7" t="s">
        <v>2675</v>
      </c>
      <c r="C7" t="s">
        <v>2676</v>
      </c>
      <c r="D7" t="s">
        <v>2688</v>
      </c>
      <c r="E7" t="s">
        <v>2689</v>
      </c>
      <c r="F7" t="s">
        <v>2680</v>
      </c>
      <c r="G7" t="s">
        <v>91</v>
      </c>
    </row>
    <row r="8" spans="1:7" ht="11.25" customHeight="1">
      <c r="A8" s="300" t="s">
        <v>14</v>
      </c>
      <c r="B8" t="s">
        <v>2675</v>
      </c>
      <c r="C8" t="s">
        <v>2676</v>
      </c>
      <c r="D8" t="s">
        <v>2690</v>
      </c>
      <c r="E8" t="s">
        <v>2691</v>
      </c>
      <c r="F8" t="s">
        <v>2680</v>
      </c>
      <c r="G8" t="s">
        <v>92</v>
      </c>
    </row>
    <row r="9" spans="1:7" ht="11.25" customHeight="1">
      <c r="A9" s="300" t="s">
        <v>14</v>
      </c>
      <c r="B9" t="s">
        <v>2675</v>
      </c>
      <c r="C9" t="s">
        <v>2676</v>
      </c>
      <c r="D9" t="s">
        <v>2692</v>
      </c>
      <c r="E9" t="s">
        <v>2693</v>
      </c>
      <c r="F9" t="s">
        <v>2694</v>
      </c>
      <c r="G9" t="s">
        <v>111</v>
      </c>
    </row>
    <row r="10" spans="1:7" ht="11.25" customHeight="1">
      <c r="A10" s="300" t="s">
        <v>14</v>
      </c>
      <c r="B10" t="s">
        <v>2675</v>
      </c>
      <c r="C10" t="s">
        <v>2676</v>
      </c>
      <c r="D10" t="s">
        <v>2695</v>
      </c>
      <c r="E10" t="s">
        <v>2696</v>
      </c>
      <c r="F10" t="s">
        <v>2694</v>
      </c>
      <c r="G10" t="s">
        <v>149</v>
      </c>
    </row>
    <row r="11" spans="1:7" ht="11.25" customHeight="1">
      <c r="A11" s="300" t="s">
        <v>14</v>
      </c>
      <c r="B11" t="s">
        <v>2675</v>
      </c>
      <c r="C11" t="s">
        <v>2676</v>
      </c>
      <c r="D11" t="s">
        <v>2697</v>
      </c>
      <c r="E11" t="s">
        <v>2698</v>
      </c>
      <c r="F11" t="s">
        <v>2680</v>
      </c>
      <c r="G11" t="s">
        <v>150</v>
      </c>
    </row>
    <row r="12" spans="1:7" ht="11.25" customHeight="1">
      <c r="A12" s="300" t="s">
        <v>14</v>
      </c>
      <c r="B12" t="s">
        <v>2675</v>
      </c>
      <c r="C12" t="s">
        <v>2676</v>
      </c>
      <c r="D12" t="s">
        <v>2699</v>
      </c>
      <c r="E12" t="s">
        <v>2700</v>
      </c>
      <c r="F12" t="s">
        <v>2680</v>
      </c>
      <c r="G12" t="s">
        <v>151</v>
      </c>
    </row>
    <row r="13" spans="1:7" ht="11.25" customHeight="1">
      <c r="A13" s="300" t="s">
        <v>14</v>
      </c>
      <c r="B13" t="s">
        <v>2675</v>
      </c>
      <c r="C13" t="s">
        <v>2676</v>
      </c>
      <c r="D13" t="s">
        <v>2701</v>
      </c>
      <c r="E13" t="s">
        <v>2702</v>
      </c>
      <c r="F13" t="s">
        <v>2680</v>
      </c>
      <c r="G13" t="s">
        <v>152</v>
      </c>
    </row>
    <row r="14" spans="1:7" ht="11.25" customHeight="1">
      <c r="A14" s="300" t="s">
        <v>14</v>
      </c>
      <c r="B14" t="s">
        <v>2675</v>
      </c>
      <c r="C14" t="s">
        <v>2676</v>
      </c>
      <c r="D14" t="s">
        <v>2703</v>
      </c>
      <c r="E14" t="s">
        <v>2704</v>
      </c>
      <c r="F14" t="s">
        <v>2680</v>
      </c>
      <c r="G14" t="s">
        <v>153</v>
      </c>
    </row>
    <row r="15" spans="1:7" ht="11.25" customHeight="1">
      <c r="A15" s="300" t="s">
        <v>14</v>
      </c>
      <c r="B15" t="s">
        <v>2675</v>
      </c>
      <c r="C15" t="s">
        <v>2676</v>
      </c>
      <c r="D15" t="s">
        <v>2705</v>
      </c>
      <c r="E15" t="s">
        <v>2706</v>
      </c>
      <c r="F15" t="s">
        <v>2680</v>
      </c>
      <c r="G15" t="s">
        <v>154</v>
      </c>
    </row>
    <row r="16" spans="1:7" ht="11.25" customHeight="1">
      <c r="A16" s="300" t="s">
        <v>14</v>
      </c>
      <c r="B16" t="s">
        <v>2675</v>
      </c>
      <c r="C16" t="s">
        <v>2676</v>
      </c>
      <c r="D16" t="s">
        <v>2707</v>
      </c>
      <c r="E16" t="s">
        <v>2708</v>
      </c>
      <c r="F16" t="s">
        <v>2680</v>
      </c>
      <c r="G16" t="s">
        <v>696</v>
      </c>
    </row>
    <row r="17" spans="1:7" ht="11.25" customHeight="1">
      <c r="A17" s="300" t="s">
        <v>14</v>
      </c>
      <c r="B17" t="s">
        <v>2675</v>
      </c>
      <c r="C17" t="s">
        <v>2676</v>
      </c>
      <c r="D17" t="s">
        <v>2709</v>
      </c>
      <c r="E17" t="s">
        <v>2710</v>
      </c>
      <c r="F17" t="s">
        <v>2680</v>
      </c>
      <c r="G17" t="s">
        <v>398</v>
      </c>
    </row>
    <row r="18" spans="1:7" ht="11.25" customHeight="1">
      <c r="A18" s="300" t="s">
        <v>14</v>
      </c>
      <c r="B18" t="s">
        <v>2711</v>
      </c>
      <c r="C18" t="s">
        <v>2712</v>
      </c>
      <c r="D18" t="s">
        <v>2713</v>
      </c>
      <c r="E18" t="s">
        <v>2714</v>
      </c>
      <c r="F18" t="s">
        <v>2680</v>
      </c>
      <c r="G18" t="s">
        <v>705</v>
      </c>
    </row>
    <row r="19" spans="1:7" ht="11.25" customHeight="1">
      <c r="A19" s="300" t="s">
        <v>14</v>
      </c>
      <c r="B19" t="s">
        <v>2711</v>
      </c>
      <c r="C19" t="s">
        <v>2712</v>
      </c>
      <c r="D19" t="s">
        <v>2715</v>
      </c>
      <c r="E19" t="s">
        <v>2716</v>
      </c>
      <c r="F19" t="s">
        <v>2680</v>
      </c>
      <c r="G19" t="s">
        <v>709</v>
      </c>
    </row>
    <row r="20" spans="1:7" ht="11.25" customHeight="1">
      <c r="A20" s="300" t="s">
        <v>14</v>
      </c>
      <c r="B20" t="s">
        <v>2711</v>
      </c>
      <c r="C20" t="s">
        <v>2712</v>
      </c>
      <c r="D20" t="s">
        <v>2717</v>
      </c>
      <c r="E20" t="s">
        <v>2718</v>
      </c>
      <c r="F20" t="s">
        <v>2680</v>
      </c>
      <c r="G20" t="s">
        <v>460</v>
      </c>
    </row>
    <row r="21" spans="1:7" ht="11.25" customHeight="1">
      <c r="A21" s="300" t="s">
        <v>14</v>
      </c>
      <c r="B21" t="s">
        <v>2711</v>
      </c>
      <c r="C21" t="s">
        <v>2712</v>
      </c>
      <c r="D21" t="s">
        <v>2711</v>
      </c>
      <c r="E21" t="s">
        <v>2712</v>
      </c>
      <c r="F21" t="s">
        <v>2677</v>
      </c>
      <c r="G21" t="s">
        <v>1074</v>
      </c>
    </row>
    <row r="22" spans="1:7" ht="11.25" customHeight="1">
      <c r="A22" s="300" t="s">
        <v>14</v>
      </c>
      <c r="B22" t="s">
        <v>2711</v>
      </c>
      <c r="C22" t="s">
        <v>2712</v>
      </c>
      <c r="D22" t="s">
        <v>2719</v>
      </c>
      <c r="E22" t="s">
        <v>2720</v>
      </c>
      <c r="F22" t="s">
        <v>2680</v>
      </c>
      <c r="G22" t="s">
        <v>1089</v>
      </c>
    </row>
    <row r="23" spans="1:7" ht="11.25" customHeight="1">
      <c r="A23" s="300" t="s">
        <v>14</v>
      </c>
      <c r="B23" t="s">
        <v>2711</v>
      </c>
      <c r="C23" t="s">
        <v>2712</v>
      </c>
      <c r="D23" t="s">
        <v>2721</v>
      </c>
      <c r="E23" t="s">
        <v>2722</v>
      </c>
      <c r="F23" t="s">
        <v>2680</v>
      </c>
      <c r="G23" t="s">
        <v>1095</v>
      </c>
    </row>
    <row r="24" spans="1:7" ht="11.25" customHeight="1">
      <c r="A24" s="300" t="s">
        <v>14</v>
      </c>
      <c r="B24" t="s">
        <v>2711</v>
      </c>
      <c r="C24" t="s">
        <v>2712</v>
      </c>
      <c r="D24" t="s">
        <v>2723</v>
      </c>
      <c r="E24" t="s">
        <v>2724</v>
      </c>
      <c r="F24" t="s">
        <v>2680</v>
      </c>
      <c r="G24" t="s">
        <v>1101</v>
      </c>
    </row>
    <row r="25" spans="1:7" ht="11.25" customHeight="1">
      <c r="A25" s="300" t="s">
        <v>14</v>
      </c>
      <c r="B25" t="s">
        <v>2711</v>
      </c>
      <c r="C25" t="s">
        <v>2712</v>
      </c>
      <c r="D25" t="s">
        <v>2725</v>
      </c>
      <c r="E25" t="s">
        <v>2726</v>
      </c>
      <c r="F25" t="s">
        <v>2680</v>
      </c>
      <c r="G25" t="s">
        <v>473</v>
      </c>
    </row>
    <row r="26" spans="1:7" ht="11.25" customHeight="1">
      <c r="A26" s="300" t="s">
        <v>14</v>
      </c>
      <c r="B26" t="s">
        <v>2711</v>
      </c>
      <c r="C26" t="s">
        <v>2712</v>
      </c>
      <c r="D26" t="s">
        <v>2727</v>
      </c>
      <c r="E26" t="s">
        <v>2728</v>
      </c>
      <c r="F26" t="s">
        <v>2680</v>
      </c>
      <c r="G26" t="s">
        <v>472</v>
      </c>
    </row>
    <row r="27" spans="1:7" ht="11.25" customHeight="1">
      <c r="A27" s="300" t="s">
        <v>14</v>
      </c>
      <c r="B27" t="s">
        <v>2711</v>
      </c>
      <c r="C27" t="s">
        <v>2712</v>
      </c>
      <c r="D27" t="s">
        <v>2729</v>
      </c>
      <c r="E27" t="s">
        <v>2730</v>
      </c>
      <c r="F27" t="s">
        <v>2680</v>
      </c>
      <c r="G27" t="s">
        <v>720</v>
      </c>
    </row>
    <row r="28" spans="1:7" ht="11.25" customHeight="1">
      <c r="A28" s="300" t="s">
        <v>14</v>
      </c>
      <c r="B28" t="s">
        <v>2711</v>
      </c>
      <c r="C28" t="s">
        <v>2712</v>
      </c>
      <c r="D28" t="s">
        <v>2731</v>
      </c>
      <c r="E28" t="s">
        <v>2732</v>
      </c>
      <c r="F28" t="s">
        <v>2680</v>
      </c>
      <c r="G28" t="s">
        <v>455</v>
      </c>
    </row>
    <row r="29" spans="1:7" ht="11.25" customHeight="1">
      <c r="A29" s="300" t="s">
        <v>14</v>
      </c>
      <c r="B29" t="s">
        <v>2711</v>
      </c>
      <c r="C29" t="s">
        <v>2712</v>
      </c>
      <c r="D29" t="s">
        <v>2733</v>
      </c>
      <c r="E29" t="s">
        <v>2734</v>
      </c>
      <c r="F29" t="s">
        <v>2680</v>
      </c>
      <c r="G29" t="s">
        <v>1123</v>
      </c>
    </row>
    <row r="30" spans="1:7" ht="11.25" customHeight="1">
      <c r="A30" s="300" t="s">
        <v>14</v>
      </c>
      <c r="B30" t="s">
        <v>2711</v>
      </c>
      <c r="C30" t="s">
        <v>2712</v>
      </c>
      <c r="D30" t="s">
        <v>2735</v>
      </c>
      <c r="E30" t="s">
        <v>2736</v>
      </c>
      <c r="F30" t="s">
        <v>2680</v>
      </c>
      <c r="G30" t="s">
        <v>1126</v>
      </c>
    </row>
    <row r="31" spans="1:7" ht="11.25" customHeight="1">
      <c r="A31" s="300" t="s">
        <v>14</v>
      </c>
      <c r="B31" t="s">
        <v>2711</v>
      </c>
      <c r="C31" t="s">
        <v>2712</v>
      </c>
      <c r="D31" t="s">
        <v>2737</v>
      </c>
      <c r="E31" t="s">
        <v>2738</v>
      </c>
      <c r="F31" t="s">
        <v>2680</v>
      </c>
      <c r="G31" t="s">
        <v>1132</v>
      </c>
    </row>
    <row r="32" spans="1:7" ht="11.25" customHeight="1">
      <c r="A32" s="300" t="s">
        <v>14</v>
      </c>
      <c r="B32" t="s">
        <v>2711</v>
      </c>
      <c r="C32" t="s">
        <v>2712</v>
      </c>
      <c r="D32" t="s">
        <v>2739</v>
      </c>
      <c r="E32" t="s">
        <v>2740</v>
      </c>
      <c r="F32" t="s">
        <v>2680</v>
      </c>
      <c r="G32" t="s">
        <v>1134</v>
      </c>
    </row>
    <row r="33" spans="1:7" ht="11.25" customHeight="1">
      <c r="A33" s="300" t="s">
        <v>14</v>
      </c>
      <c r="B33" t="s">
        <v>2711</v>
      </c>
      <c r="C33" t="s">
        <v>2712</v>
      </c>
      <c r="D33" t="s">
        <v>2741</v>
      </c>
      <c r="E33" t="s">
        <v>2742</v>
      </c>
      <c r="F33" t="s">
        <v>2680</v>
      </c>
      <c r="G33" t="s">
        <v>1136</v>
      </c>
    </row>
    <row r="34" spans="1:7" ht="11.25" customHeight="1">
      <c r="A34" s="300" t="s">
        <v>14</v>
      </c>
      <c r="B34" t="s">
        <v>2711</v>
      </c>
      <c r="C34" t="s">
        <v>2712</v>
      </c>
      <c r="D34" t="s">
        <v>2743</v>
      </c>
      <c r="E34" t="s">
        <v>2744</v>
      </c>
      <c r="F34" t="s">
        <v>2680</v>
      </c>
      <c r="G34" t="s">
        <v>1138</v>
      </c>
    </row>
    <row r="35" spans="1:7" ht="11.25" customHeight="1">
      <c r="A35" s="300" t="s">
        <v>14</v>
      </c>
      <c r="B35" t="s">
        <v>2711</v>
      </c>
      <c r="C35" t="s">
        <v>2712</v>
      </c>
      <c r="D35" t="s">
        <v>2745</v>
      </c>
      <c r="E35" t="s">
        <v>2746</v>
      </c>
      <c r="F35" t="s">
        <v>2680</v>
      </c>
      <c r="G35" t="s">
        <v>1143</v>
      </c>
    </row>
    <row r="36" spans="1:7" ht="11.25" customHeight="1">
      <c r="A36" s="300" t="s">
        <v>14</v>
      </c>
      <c r="B36" t="s">
        <v>2711</v>
      </c>
      <c r="C36" t="s">
        <v>2712</v>
      </c>
      <c r="D36" t="s">
        <v>2747</v>
      </c>
      <c r="E36" t="s">
        <v>2748</v>
      </c>
      <c r="F36" t="s">
        <v>2680</v>
      </c>
      <c r="G36" t="s">
        <v>1148</v>
      </c>
    </row>
    <row r="37" spans="1:7" ht="11.25" customHeight="1">
      <c r="A37" s="300" t="s">
        <v>14</v>
      </c>
      <c r="B37" t="s">
        <v>2711</v>
      </c>
      <c r="C37" t="s">
        <v>2712</v>
      </c>
      <c r="D37" t="s">
        <v>2749</v>
      </c>
      <c r="E37" t="s">
        <v>2750</v>
      </c>
      <c r="F37" t="s">
        <v>2680</v>
      </c>
      <c r="G37" t="s">
        <v>1152</v>
      </c>
    </row>
    <row r="38" spans="1:7" ht="11.25" customHeight="1">
      <c r="A38" s="300" t="s">
        <v>14</v>
      </c>
      <c r="B38" t="s">
        <v>2711</v>
      </c>
      <c r="C38" t="s">
        <v>2712</v>
      </c>
      <c r="D38" t="s">
        <v>2751</v>
      </c>
      <c r="E38" t="s">
        <v>2752</v>
      </c>
      <c r="F38" t="s">
        <v>2680</v>
      </c>
      <c r="G38" t="s">
        <v>1160</v>
      </c>
    </row>
    <row r="39" spans="1:7" ht="11.25" customHeight="1">
      <c r="A39" s="300" t="s">
        <v>14</v>
      </c>
      <c r="B39" t="s">
        <v>2711</v>
      </c>
      <c r="C39" t="s">
        <v>2712</v>
      </c>
      <c r="D39" t="s">
        <v>2753</v>
      </c>
      <c r="E39" t="s">
        <v>2754</v>
      </c>
      <c r="F39" t="s">
        <v>2680</v>
      </c>
      <c r="G39" t="s">
        <v>1166</v>
      </c>
    </row>
    <row r="40" spans="1:7" ht="11.25" customHeight="1">
      <c r="A40" s="300" t="s">
        <v>14</v>
      </c>
      <c r="B40" t="s">
        <v>99</v>
      </c>
      <c r="C40" t="s">
        <v>100</v>
      </c>
      <c r="D40" t="s">
        <v>99</v>
      </c>
      <c r="E40" t="s">
        <v>100</v>
      </c>
      <c r="F40" t="s">
        <v>2755</v>
      </c>
      <c r="G40" t="s">
        <v>98</v>
      </c>
    </row>
    <row r="41" spans="1:7" ht="11.25" customHeight="1">
      <c r="A41" s="300" t="s">
        <v>14</v>
      </c>
      <c r="B41" t="s">
        <v>2756</v>
      </c>
      <c r="C41" t="s">
        <v>2757</v>
      </c>
      <c r="D41" t="s">
        <v>2758</v>
      </c>
      <c r="E41" t="s">
        <v>2759</v>
      </c>
      <c r="F41" t="s">
        <v>2680</v>
      </c>
      <c r="G41" t="s">
        <v>1177</v>
      </c>
    </row>
    <row r="42" spans="1:7" ht="11.25" customHeight="1">
      <c r="A42" s="300" t="s">
        <v>14</v>
      </c>
      <c r="B42" t="s">
        <v>2756</v>
      </c>
      <c r="C42" t="s">
        <v>2757</v>
      </c>
      <c r="D42" t="s">
        <v>2760</v>
      </c>
      <c r="E42" t="s">
        <v>2761</v>
      </c>
      <c r="F42" t="s">
        <v>2680</v>
      </c>
      <c r="G42" t="s">
        <v>1182</v>
      </c>
    </row>
    <row r="43" spans="1:7" ht="11.25" customHeight="1">
      <c r="A43" s="300" t="s">
        <v>14</v>
      </c>
      <c r="B43" t="s">
        <v>2756</v>
      </c>
      <c r="C43" t="s">
        <v>2757</v>
      </c>
      <c r="D43" t="s">
        <v>2762</v>
      </c>
      <c r="E43" t="s">
        <v>2763</v>
      </c>
      <c r="F43" t="s">
        <v>2680</v>
      </c>
      <c r="G43" t="s">
        <v>1189</v>
      </c>
    </row>
    <row r="44" spans="1:7" ht="11.25" customHeight="1">
      <c r="A44" s="300" t="s">
        <v>14</v>
      </c>
      <c r="B44" t="s">
        <v>2756</v>
      </c>
      <c r="C44" t="s">
        <v>2757</v>
      </c>
      <c r="D44" t="s">
        <v>2764</v>
      </c>
      <c r="E44" t="s">
        <v>2765</v>
      </c>
      <c r="F44" t="s">
        <v>2680</v>
      </c>
      <c r="G44" t="s">
        <v>1198</v>
      </c>
    </row>
    <row r="45" spans="1:7" ht="11.25" customHeight="1">
      <c r="A45" s="300" t="s">
        <v>14</v>
      </c>
      <c r="B45" t="s">
        <v>2756</v>
      </c>
      <c r="C45" t="s">
        <v>2757</v>
      </c>
      <c r="D45" t="s">
        <v>2756</v>
      </c>
      <c r="E45" t="s">
        <v>2757</v>
      </c>
      <c r="F45" t="s">
        <v>2677</v>
      </c>
      <c r="G45" t="s">
        <v>1204</v>
      </c>
    </row>
    <row r="46" spans="1:7" ht="11.25" customHeight="1">
      <c r="A46" s="300" t="s">
        <v>14</v>
      </c>
      <c r="B46" t="s">
        <v>2756</v>
      </c>
      <c r="C46" t="s">
        <v>2757</v>
      </c>
      <c r="D46" t="s">
        <v>2766</v>
      </c>
      <c r="E46" t="s">
        <v>2767</v>
      </c>
      <c r="F46" t="s">
        <v>2680</v>
      </c>
      <c r="G46" t="s">
        <v>474</v>
      </c>
    </row>
    <row r="47" spans="1:7" ht="11.25" customHeight="1">
      <c r="A47" s="300" t="s">
        <v>14</v>
      </c>
      <c r="B47" t="s">
        <v>2756</v>
      </c>
      <c r="C47" t="s">
        <v>2757</v>
      </c>
      <c r="D47" t="s">
        <v>2768</v>
      </c>
      <c r="E47" t="s">
        <v>2769</v>
      </c>
      <c r="F47" t="s">
        <v>2680</v>
      </c>
      <c r="G47" t="s">
        <v>1213</v>
      </c>
    </row>
    <row r="48" spans="1:7" ht="11.25" customHeight="1">
      <c r="A48" s="300" t="s">
        <v>14</v>
      </c>
      <c r="B48" t="s">
        <v>2756</v>
      </c>
      <c r="C48" t="s">
        <v>2757</v>
      </c>
      <c r="D48" t="s">
        <v>2770</v>
      </c>
      <c r="E48" t="s">
        <v>2771</v>
      </c>
      <c r="F48" t="s">
        <v>2680</v>
      </c>
      <c r="G48" t="s">
        <v>721</v>
      </c>
    </row>
    <row r="49" spans="1:7" ht="11.25" customHeight="1">
      <c r="A49" s="300" t="s">
        <v>14</v>
      </c>
      <c r="B49" t="s">
        <v>2756</v>
      </c>
      <c r="C49" t="s">
        <v>2757</v>
      </c>
      <c r="D49" t="s">
        <v>2772</v>
      </c>
      <c r="E49" t="s">
        <v>2773</v>
      </c>
      <c r="F49" t="s">
        <v>2680</v>
      </c>
      <c r="G49" t="s">
        <v>1222</v>
      </c>
    </row>
    <row r="50" spans="1:7" ht="11.25" customHeight="1">
      <c r="A50" s="300" t="s">
        <v>14</v>
      </c>
      <c r="B50" t="s">
        <v>2756</v>
      </c>
      <c r="C50" t="s">
        <v>2757</v>
      </c>
      <c r="D50" t="s">
        <v>2774</v>
      </c>
      <c r="E50" t="s">
        <v>2775</v>
      </c>
      <c r="F50" t="s">
        <v>2680</v>
      </c>
      <c r="G50" t="s">
        <v>1226</v>
      </c>
    </row>
    <row r="51" spans="1:7" ht="11.25" customHeight="1">
      <c r="A51" s="300" t="s">
        <v>14</v>
      </c>
      <c r="B51" t="s">
        <v>2756</v>
      </c>
      <c r="C51" t="s">
        <v>2757</v>
      </c>
      <c r="D51" t="s">
        <v>2776</v>
      </c>
      <c r="E51" t="s">
        <v>2777</v>
      </c>
      <c r="F51" t="s">
        <v>2680</v>
      </c>
      <c r="G51" t="s">
        <v>1230</v>
      </c>
    </row>
    <row r="52" spans="1:7" ht="11.25" customHeight="1">
      <c r="A52" s="300" t="s">
        <v>14</v>
      </c>
      <c r="B52" t="s">
        <v>2756</v>
      </c>
      <c r="C52" t="s">
        <v>2757</v>
      </c>
      <c r="D52" t="s">
        <v>2778</v>
      </c>
      <c r="E52" t="s">
        <v>2779</v>
      </c>
      <c r="F52" t="s">
        <v>2680</v>
      </c>
      <c r="G52" t="s">
        <v>1234</v>
      </c>
    </row>
    <row r="53" spans="1:7" ht="11.25" customHeight="1">
      <c r="A53" s="300" t="s">
        <v>14</v>
      </c>
      <c r="B53" t="s">
        <v>2756</v>
      </c>
      <c r="C53" t="s">
        <v>2757</v>
      </c>
      <c r="D53" t="s">
        <v>2780</v>
      </c>
      <c r="E53" t="s">
        <v>2781</v>
      </c>
      <c r="F53" t="s">
        <v>2680</v>
      </c>
      <c r="G53" t="s">
        <v>1236</v>
      </c>
    </row>
    <row r="54" spans="1:7" ht="11.25" customHeight="1">
      <c r="A54" s="300" t="s">
        <v>14</v>
      </c>
      <c r="B54" t="s">
        <v>2756</v>
      </c>
      <c r="C54" t="s">
        <v>2757</v>
      </c>
      <c r="D54" t="s">
        <v>2782</v>
      </c>
      <c r="E54" t="s">
        <v>2783</v>
      </c>
      <c r="F54" t="s">
        <v>2680</v>
      </c>
      <c r="G54" t="s">
        <v>1239</v>
      </c>
    </row>
    <row r="55" spans="1:7" ht="11.25" customHeight="1">
      <c r="A55" s="300" t="s">
        <v>14</v>
      </c>
      <c r="B55" t="s">
        <v>2756</v>
      </c>
      <c r="C55" t="s">
        <v>2757</v>
      </c>
      <c r="D55" t="s">
        <v>2784</v>
      </c>
      <c r="E55" t="s">
        <v>2785</v>
      </c>
      <c r="F55" t="s">
        <v>2680</v>
      </c>
      <c r="G55" t="s">
        <v>1243</v>
      </c>
    </row>
    <row r="56" spans="1:7" ht="11.25" customHeight="1">
      <c r="A56" s="300" t="s">
        <v>14</v>
      </c>
      <c r="B56" t="s">
        <v>2786</v>
      </c>
      <c r="C56" t="s">
        <v>2787</v>
      </c>
      <c r="D56" t="s">
        <v>2786</v>
      </c>
      <c r="E56" t="s">
        <v>2787</v>
      </c>
      <c r="F56" t="s">
        <v>2755</v>
      </c>
      <c r="G56" t="s">
        <v>1246</v>
      </c>
    </row>
    <row r="57" spans="1:7" ht="11.25" customHeight="1">
      <c r="A57" s="300" t="s">
        <v>14</v>
      </c>
      <c r="B57" t="s">
        <v>2788</v>
      </c>
      <c r="C57" t="s">
        <v>2789</v>
      </c>
      <c r="D57" t="s">
        <v>2790</v>
      </c>
      <c r="E57" t="s">
        <v>2791</v>
      </c>
      <c r="F57" t="s">
        <v>2680</v>
      </c>
      <c r="G57" t="s">
        <v>1249</v>
      </c>
    </row>
    <row r="58" spans="1:7" ht="11.25" customHeight="1">
      <c r="A58" s="300" t="s">
        <v>14</v>
      </c>
      <c r="B58" t="s">
        <v>2788</v>
      </c>
      <c r="C58" t="s">
        <v>2789</v>
      </c>
      <c r="D58" t="s">
        <v>2792</v>
      </c>
      <c r="E58" t="s">
        <v>2793</v>
      </c>
      <c r="F58" t="s">
        <v>2680</v>
      </c>
      <c r="G58" t="s">
        <v>1252</v>
      </c>
    </row>
    <row r="59" spans="1:7" ht="11.25" customHeight="1">
      <c r="A59" s="300" t="s">
        <v>14</v>
      </c>
      <c r="B59" t="s">
        <v>2788</v>
      </c>
      <c r="C59" t="s">
        <v>2789</v>
      </c>
      <c r="D59" t="s">
        <v>2788</v>
      </c>
      <c r="E59" t="s">
        <v>2789</v>
      </c>
      <c r="F59" t="s">
        <v>2677</v>
      </c>
      <c r="G59" t="s">
        <v>1256</v>
      </c>
    </row>
    <row r="60" spans="1:7" ht="11.25" customHeight="1">
      <c r="A60" s="300" t="s">
        <v>14</v>
      </c>
      <c r="B60" t="s">
        <v>2788</v>
      </c>
      <c r="C60" t="s">
        <v>2789</v>
      </c>
      <c r="D60" t="s">
        <v>2794</v>
      </c>
      <c r="E60" t="s">
        <v>2795</v>
      </c>
      <c r="F60" t="s">
        <v>2680</v>
      </c>
      <c r="G60" t="s">
        <v>1259</v>
      </c>
    </row>
    <row r="61" spans="1:7" ht="11.25" customHeight="1">
      <c r="A61" s="300" t="s">
        <v>14</v>
      </c>
      <c r="B61" t="s">
        <v>2788</v>
      </c>
      <c r="C61" t="s">
        <v>2789</v>
      </c>
      <c r="D61" t="s">
        <v>2796</v>
      </c>
      <c r="E61" t="s">
        <v>2797</v>
      </c>
      <c r="F61" t="s">
        <v>2680</v>
      </c>
      <c r="G61" t="s">
        <v>2798</v>
      </c>
    </row>
    <row r="62" spans="1:7" ht="11.25" customHeight="1">
      <c r="A62" s="300" t="s">
        <v>14</v>
      </c>
      <c r="B62" t="s">
        <v>2788</v>
      </c>
      <c r="C62" t="s">
        <v>2789</v>
      </c>
      <c r="D62" t="s">
        <v>2799</v>
      </c>
      <c r="E62" t="s">
        <v>2800</v>
      </c>
      <c r="F62" t="s">
        <v>2680</v>
      </c>
      <c r="G62" t="s">
        <v>2801</v>
      </c>
    </row>
    <row r="63" spans="1:7" ht="11.25" customHeight="1">
      <c r="A63" s="300" t="s">
        <v>14</v>
      </c>
      <c r="B63" t="s">
        <v>2788</v>
      </c>
      <c r="C63" t="s">
        <v>2789</v>
      </c>
      <c r="D63" t="s">
        <v>2802</v>
      </c>
      <c r="E63" t="s">
        <v>2803</v>
      </c>
      <c r="F63" t="s">
        <v>2680</v>
      </c>
      <c r="G63" t="s">
        <v>2804</v>
      </c>
    </row>
    <row r="64" spans="1:7" ht="11.25" customHeight="1">
      <c r="A64" s="300" t="s">
        <v>14</v>
      </c>
      <c r="B64" t="s">
        <v>2788</v>
      </c>
      <c r="C64" t="s">
        <v>2789</v>
      </c>
      <c r="D64" t="s">
        <v>2805</v>
      </c>
      <c r="E64" t="s">
        <v>2806</v>
      </c>
      <c r="F64" t="s">
        <v>2680</v>
      </c>
      <c r="G64" t="s">
        <v>2807</v>
      </c>
    </row>
    <row r="65" spans="1:7" ht="11.25" customHeight="1">
      <c r="A65" s="300" t="s">
        <v>14</v>
      </c>
      <c r="B65" t="s">
        <v>2788</v>
      </c>
      <c r="C65" t="s">
        <v>2789</v>
      </c>
      <c r="D65" t="s">
        <v>2808</v>
      </c>
      <c r="E65" t="s">
        <v>2809</v>
      </c>
      <c r="F65" t="s">
        <v>2694</v>
      </c>
      <c r="G65" t="s">
        <v>2810</v>
      </c>
    </row>
    <row r="66" spans="1:7" ht="11.25" customHeight="1">
      <c r="A66" s="300" t="s">
        <v>14</v>
      </c>
      <c r="B66" t="s">
        <v>2788</v>
      </c>
      <c r="C66" t="s">
        <v>2789</v>
      </c>
      <c r="D66" t="s">
        <v>2811</v>
      </c>
      <c r="E66" t="s">
        <v>2812</v>
      </c>
      <c r="F66" t="s">
        <v>2694</v>
      </c>
      <c r="G66" t="s">
        <v>2813</v>
      </c>
    </row>
    <row r="67" spans="1:7" ht="11.25" customHeight="1">
      <c r="A67" s="300" t="s">
        <v>14</v>
      </c>
      <c r="B67" t="s">
        <v>2788</v>
      </c>
      <c r="C67" t="s">
        <v>2789</v>
      </c>
      <c r="D67" t="s">
        <v>2814</v>
      </c>
      <c r="E67" t="s">
        <v>2815</v>
      </c>
      <c r="F67" t="s">
        <v>2680</v>
      </c>
      <c r="G67" t="s">
        <v>475</v>
      </c>
    </row>
    <row r="68" spans="1:7" ht="11.25" customHeight="1">
      <c r="A68" s="300" t="s">
        <v>14</v>
      </c>
      <c r="B68" t="s">
        <v>2788</v>
      </c>
      <c r="C68" t="s">
        <v>2789</v>
      </c>
      <c r="D68" t="s">
        <v>2816</v>
      </c>
      <c r="E68" t="s">
        <v>2817</v>
      </c>
      <c r="F68" t="s">
        <v>2680</v>
      </c>
      <c r="G68" t="s">
        <v>2818</v>
      </c>
    </row>
    <row r="69" spans="1:7" ht="11.25" customHeight="1">
      <c r="A69" s="300" t="s">
        <v>14</v>
      </c>
      <c r="B69" t="s">
        <v>2788</v>
      </c>
      <c r="C69" t="s">
        <v>2789</v>
      </c>
      <c r="D69" t="s">
        <v>2819</v>
      </c>
      <c r="E69" t="s">
        <v>2820</v>
      </c>
      <c r="F69" t="s">
        <v>2680</v>
      </c>
      <c r="G69" t="s">
        <v>722</v>
      </c>
    </row>
    <row r="70" spans="1:7" ht="11.25" customHeight="1">
      <c r="A70" s="300" t="s">
        <v>14</v>
      </c>
      <c r="B70" t="s">
        <v>2788</v>
      </c>
      <c r="C70" t="s">
        <v>2789</v>
      </c>
      <c r="D70" t="s">
        <v>2821</v>
      </c>
      <c r="E70" t="s">
        <v>2822</v>
      </c>
      <c r="F70" t="s">
        <v>2680</v>
      </c>
      <c r="G70" t="s">
        <v>2823</v>
      </c>
    </row>
    <row r="71" spans="1:7" ht="11.25" customHeight="1">
      <c r="A71" s="300" t="s">
        <v>14</v>
      </c>
      <c r="B71" t="s">
        <v>2824</v>
      </c>
      <c r="C71" t="s">
        <v>2825</v>
      </c>
      <c r="D71" t="s">
        <v>2826</v>
      </c>
      <c r="E71" t="s">
        <v>2827</v>
      </c>
      <c r="F71" t="s">
        <v>2680</v>
      </c>
      <c r="G71" t="s">
        <v>2828</v>
      </c>
    </row>
    <row r="72" spans="1:7" ht="11.25" customHeight="1">
      <c r="A72" s="300" t="s">
        <v>14</v>
      </c>
      <c r="B72" t="s">
        <v>2824</v>
      </c>
      <c r="C72" t="s">
        <v>2825</v>
      </c>
      <c r="D72" t="s">
        <v>2829</v>
      </c>
      <c r="E72" t="s">
        <v>2830</v>
      </c>
      <c r="F72" t="s">
        <v>2683</v>
      </c>
      <c r="G72" t="s">
        <v>2831</v>
      </c>
    </row>
    <row r="73" spans="1:7" ht="11.25" customHeight="1">
      <c r="A73" s="300" t="s">
        <v>14</v>
      </c>
      <c r="B73" t="s">
        <v>2824</v>
      </c>
      <c r="C73" t="s">
        <v>2825</v>
      </c>
      <c r="D73" t="s">
        <v>2832</v>
      </c>
      <c r="E73" t="s">
        <v>2833</v>
      </c>
      <c r="F73" t="s">
        <v>2680</v>
      </c>
      <c r="G73" t="s">
        <v>2834</v>
      </c>
    </row>
    <row r="74" spans="1:7" ht="11.25" customHeight="1">
      <c r="A74" s="300" t="s">
        <v>14</v>
      </c>
      <c r="B74" t="s">
        <v>2824</v>
      </c>
      <c r="C74" t="s">
        <v>2825</v>
      </c>
      <c r="D74" t="s">
        <v>2835</v>
      </c>
      <c r="E74" t="s">
        <v>2836</v>
      </c>
      <c r="F74" t="s">
        <v>2680</v>
      </c>
      <c r="G74" t="s">
        <v>2837</v>
      </c>
    </row>
    <row r="75" spans="1:7" ht="11.25" customHeight="1">
      <c r="A75" s="300" t="s">
        <v>14</v>
      </c>
      <c r="B75" t="s">
        <v>2824</v>
      </c>
      <c r="C75" t="s">
        <v>2825</v>
      </c>
      <c r="D75" t="s">
        <v>2824</v>
      </c>
      <c r="E75" t="s">
        <v>2825</v>
      </c>
      <c r="F75" t="s">
        <v>2677</v>
      </c>
      <c r="G75" t="s">
        <v>2838</v>
      </c>
    </row>
    <row r="76" spans="1:7" ht="11.25" customHeight="1">
      <c r="A76" s="300" t="s">
        <v>14</v>
      </c>
      <c r="B76" t="s">
        <v>2824</v>
      </c>
      <c r="C76" t="s">
        <v>2825</v>
      </c>
      <c r="D76" t="s">
        <v>2839</v>
      </c>
      <c r="E76" t="s">
        <v>2840</v>
      </c>
      <c r="F76" t="s">
        <v>2680</v>
      </c>
      <c r="G76" t="s">
        <v>2841</v>
      </c>
    </row>
    <row r="77" spans="1:7" ht="11.25" customHeight="1">
      <c r="A77" s="300" t="s">
        <v>14</v>
      </c>
      <c r="B77" t="s">
        <v>2824</v>
      </c>
      <c r="C77" t="s">
        <v>2825</v>
      </c>
      <c r="D77" t="s">
        <v>2842</v>
      </c>
      <c r="E77" t="s">
        <v>2843</v>
      </c>
      <c r="F77" t="s">
        <v>2680</v>
      </c>
      <c r="G77" t="s">
        <v>2844</v>
      </c>
    </row>
    <row r="78" spans="1:7" ht="11.25" customHeight="1">
      <c r="A78" s="300" t="s">
        <v>14</v>
      </c>
      <c r="B78" t="s">
        <v>2824</v>
      </c>
      <c r="C78" t="s">
        <v>2825</v>
      </c>
      <c r="D78" t="s">
        <v>2845</v>
      </c>
      <c r="E78" t="s">
        <v>2846</v>
      </c>
      <c r="F78" t="s">
        <v>2680</v>
      </c>
      <c r="G78" t="s">
        <v>2847</v>
      </c>
    </row>
    <row r="79" spans="1:7" ht="11.25" customHeight="1">
      <c r="A79" s="300" t="s">
        <v>14</v>
      </c>
      <c r="B79" t="s">
        <v>2824</v>
      </c>
      <c r="C79" t="s">
        <v>2825</v>
      </c>
      <c r="D79" t="s">
        <v>2848</v>
      </c>
      <c r="E79" t="s">
        <v>2849</v>
      </c>
      <c r="F79" t="s">
        <v>2680</v>
      </c>
      <c r="G79" t="s">
        <v>2850</v>
      </c>
    </row>
    <row r="80" spans="1:7" ht="11.25" customHeight="1">
      <c r="A80" s="300" t="s">
        <v>14</v>
      </c>
      <c r="B80" t="s">
        <v>2824</v>
      </c>
      <c r="C80" t="s">
        <v>2825</v>
      </c>
      <c r="D80" t="s">
        <v>2851</v>
      </c>
      <c r="E80" t="s">
        <v>2852</v>
      </c>
      <c r="F80" t="s">
        <v>2680</v>
      </c>
      <c r="G80" t="s">
        <v>2853</v>
      </c>
    </row>
    <row r="81" spans="1:7" ht="11.25" customHeight="1">
      <c r="A81" s="300" t="s">
        <v>14</v>
      </c>
      <c r="B81" t="s">
        <v>2824</v>
      </c>
      <c r="C81" t="s">
        <v>2825</v>
      </c>
      <c r="D81" t="s">
        <v>2854</v>
      </c>
      <c r="E81" t="s">
        <v>2855</v>
      </c>
      <c r="F81" t="s">
        <v>2694</v>
      </c>
      <c r="G81" t="s">
        <v>2856</v>
      </c>
    </row>
    <row r="82" spans="1:7" ht="11.25" customHeight="1">
      <c r="A82" s="300" t="s">
        <v>14</v>
      </c>
      <c r="B82" t="s">
        <v>2824</v>
      </c>
      <c r="C82" t="s">
        <v>2825</v>
      </c>
      <c r="D82" t="s">
        <v>2857</v>
      </c>
      <c r="E82" t="s">
        <v>2858</v>
      </c>
      <c r="F82" t="s">
        <v>2694</v>
      </c>
      <c r="G82" t="s">
        <v>2859</v>
      </c>
    </row>
    <row r="83" spans="1:7" ht="11.25" customHeight="1">
      <c r="A83" s="300" t="s">
        <v>14</v>
      </c>
      <c r="B83" t="s">
        <v>2824</v>
      </c>
      <c r="C83" t="s">
        <v>2825</v>
      </c>
      <c r="D83" t="s">
        <v>2860</v>
      </c>
      <c r="E83" t="s">
        <v>2861</v>
      </c>
      <c r="F83" t="s">
        <v>2680</v>
      </c>
      <c r="G83" t="s">
        <v>2862</v>
      </c>
    </row>
    <row r="84" spans="1:7" ht="11.25" customHeight="1">
      <c r="A84" s="300" t="s">
        <v>14</v>
      </c>
      <c r="B84" t="s">
        <v>2824</v>
      </c>
      <c r="C84" t="s">
        <v>2825</v>
      </c>
      <c r="D84" t="s">
        <v>2863</v>
      </c>
      <c r="E84" t="s">
        <v>2864</v>
      </c>
      <c r="F84" t="s">
        <v>2680</v>
      </c>
      <c r="G84" t="s">
        <v>2865</v>
      </c>
    </row>
    <row r="85" spans="1:7" ht="11.25" customHeight="1">
      <c r="A85" s="300" t="s">
        <v>14</v>
      </c>
      <c r="B85" t="s">
        <v>2824</v>
      </c>
      <c r="C85" t="s">
        <v>2825</v>
      </c>
      <c r="D85" t="s">
        <v>2866</v>
      </c>
      <c r="E85" t="s">
        <v>2867</v>
      </c>
      <c r="F85" t="s">
        <v>2680</v>
      </c>
      <c r="G85" t="s">
        <v>2868</v>
      </c>
    </row>
    <row r="86" spans="1:7" ht="11.25" customHeight="1">
      <c r="A86" s="300" t="s">
        <v>14</v>
      </c>
      <c r="B86" t="s">
        <v>2824</v>
      </c>
      <c r="C86" t="s">
        <v>2825</v>
      </c>
      <c r="D86" t="s">
        <v>2869</v>
      </c>
      <c r="E86" t="s">
        <v>2870</v>
      </c>
      <c r="F86" t="s">
        <v>2680</v>
      </c>
      <c r="G86" t="s">
        <v>2871</v>
      </c>
    </row>
    <row r="87" spans="1:7" ht="11.25" customHeight="1">
      <c r="A87" s="300" t="s">
        <v>14</v>
      </c>
      <c r="B87" t="s">
        <v>2872</v>
      </c>
      <c r="C87" t="s">
        <v>2873</v>
      </c>
      <c r="D87" t="s">
        <v>2874</v>
      </c>
      <c r="E87" t="s">
        <v>2875</v>
      </c>
      <c r="F87" t="s">
        <v>2680</v>
      </c>
      <c r="G87" t="s">
        <v>2876</v>
      </c>
    </row>
    <row r="88" spans="1:7" ht="11.25" customHeight="1">
      <c r="A88" s="300" t="s">
        <v>14</v>
      </c>
      <c r="B88" t="s">
        <v>2872</v>
      </c>
      <c r="C88" t="s">
        <v>2873</v>
      </c>
      <c r="D88" t="s">
        <v>2877</v>
      </c>
      <c r="E88" t="s">
        <v>2878</v>
      </c>
      <c r="F88" t="s">
        <v>2680</v>
      </c>
      <c r="G88" t="s">
        <v>2879</v>
      </c>
    </row>
    <row r="89" spans="1:7" ht="11.25" customHeight="1">
      <c r="A89" s="300" t="s">
        <v>14</v>
      </c>
      <c r="B89" t="s">
        <v>2872</v>
      </c>
      <c r="C89" t="s">
        <v>2873</v>
      </c>
      <c r="D89" t="s">
        <v>2880</v>
      </c>
      <c r="E89" t="s">
        <v>2881</v>
      </c>
      <c r="F89" t="s">
        <v>2680</v>
      </c>
      <c r="G89" t="s">
        <v>2882</v>
      </c>
    </row>
    <row r="90" spans="1:7" ht="11.25" customHeight="1">
      <c r="A90" s="300" t="s">
        <v>14</v>
      </c>
      <c r="B90" t="s">
        <v>2872</v>
      </c>
      <c r="C90" t="s">
        <v>2873</v>
      </c>
      <c r="D90" t="s">
        <v>2883</v>
      </c>
      <c r="E90" t="s">
        <v>2884</v>
      </c>
      <c r="F90" t="s">
        <v>2680</v>
      </c>
      <c r="G90" t="s">
        <v>2885</v>
      </c>
    </row>
    <row r="91" spans="1:7" ht="11.25" customHeight="1">
      <c r="A91" s="300" t="s">
        <v>14</v>
      </c>
      <c r="B91" t="s">
        <v>2872</v>
      </c>
      <c r="C91" t="s">
        <v>2873</v>
      </c>
      <c r="D91" t="s">
        <v>2886</v>
      </c>
      <c r="E91" t="s">
        <v>2887</v>
      </c>
      <c r="F91" t="s">
        <v>2680</v>
      </c>
      <c r="G91" t="s">
        <v>2888</v>
      </c>
    </row>
    <row r="92" spans="1:7" ht="11.25" customHeight="1">
      <c r="A92" s="300" t="s">
        <v>14</v>
      </c>
      <c r="B92" t="s">
        <v>2872</v>
      </c>
      <c r="C92" t="s">
        <v>2873</v>
      </c>
      <c r="D92" t="s">
        <v>2889</v>
      </c>
      <c r="E92" t="s">
        <v>2890</v>
      </c>
      <c r="F92" t="s">
        <v>2680</v>
      </c>
      <c r="G92" t="s">
        <v>2891</v>
      </c>
    </row>
    <row r="93" spans="1:7" ht="11.25" customHeight="1">
      <c r="A93" s="300" t="s">
        <v>14</v>
      </c>
      <c r="B93" t="s">
        <v>2872</v>
      </c>
      <c r="C93" t="s">
        <v>2873</v>
      </c>
      <c r="D93" t="s">
        <v>2872</v>
      </c>
      <c r="E93" t="s">
        <v>2873</v>
      </c>
      <c r="F93" t="s">
        <v>2677</v>
      </c>
      <c r="G93" t="s">
        <v>2892</v>
      </c>
    </row>
    <row r="94" spans="1:7" ht="11.25" customHeight="1">
      <c r="A94" s="300" t="s">
        <v>14</v>
      </c>
      <c r="B94" t="s">
        <v>2872</v>
      </c>
      <c r="C94" t="s">
        <v>2873</v>
      </c>
      <c r="D94" t="s">
        <v>2893</v>
      </c>
      <c r="E94" t="s">
        <v>2894</v>
      </c>
      <c r="F94" t="s">
        <v>2680</v>
      </c>
      <c r="G94" t="s">
        <v>2895</v>
      </c>
    </row>
    <row r="95" spans="1:7" ht="11.25" customHeight="1">
      <c r="A95" s="300" t="s">
        <v>14</v>
      </c>
      <c r="B95" t="s">
        <v>2872</v>
      </c>
      <c r="C95" t="s">
        <v>2873</v>
      </c>
      <c r="D95" t="s">
        <v>2896</v>
      </c>
      <c r="E95" t="s">
        <v>2897</v>
      </c>
      <c r="F95" t="s">
        <v>2680</v>
      </c>
      <c r="G95" t="s">
        <v>2898</v>
      </c>
    </row>
    <row r="96" spans="1:7" ht="11.25" customHeight="1">
      <c r="A96" s="300" t="s">
        <v>14</v>
      </c>
      <c r="B96" t="s">
        <v>2899</v>
      </c>
      <c r="C96" t="s">
        <v>2900</v>
      </c>
      <c r="D96" t="s">
        <v>2901</v>
      </c>
      <c r="E96" t="s">
        <v>2902</v>
      </c>
      <c r="F96" t="s">
        <v>2680</v>
      </c>
      <c r="G96" t="s">
        <v>2903</v>
      </c>
    </row>
    <row r="97" spans="1:7" ht="11.25" customHeight="1">
      <c r="A97" s="300" t="s">
        <v>14</v>
      </c>
      <c r="B97" t="s">
        <v>2899</v>
      </c>
      <c r="C97" t="s">
        <v>2900</v>
      </c>
      <c r="D97" t="s">
        <v>2899</v>
      </c>
      <c r="E97" t="s">
        <v>2900</v>
      </c>
      <c r="F97" t="s">
        <v>2677</v>
      </c>
      <c r="G97" t="s">
        <v>2904</v>
      </c>
    </row>
    <row r="98" spans="1:7" ht="11.25" customHeight="1">
      <c r="A98" s="300" t="s">
        <v>14</v>
      </c>
      <c r="B98" t="s">
        <v>2899</v>
      </c>
      <c r="C98" t="s">
        <v>2900</v>
      </c>
      <c r="D98" t="s">
        <v>2905</v>
      </c>
      <c r="E98" t="s">
        <v>2906</v>
      </c>
      <c r="F98" t="s">
        <v>2680</v>
      </c>
      <c r="G98" t="s">
        <v>2907</v>
      </c>
    </row>
    <row r="99" spans="1:7" ht="11.25" customHeight="1">
      <c r="A99" s="300" t="s">
        <v>14</v>
      </c>
      <c r="B99" t="s">
        <v>2899</v>
      </c>
      <c r="C99" t="s">
        <v>2900</v>
      </c>
      <c r="D99" t="s">
        <v>2908</v>
      </c>
      <c r="E99" t="s">
        <v>2909</v>
      </c>
      <c r="F99" t="s">
        <v>2680</v>
      </c>
      <c r="G99" t="s">
        <v>2910</v>
      </c>
    </row>
    <row r="100" spans="1:7" ht="11.25" customHeight="1">
      <c r="A100" s="300" t="s">
        <v>14</v>
      </c>
      <c r="B100" t="s">
        <v>2899</v>
      </c>
      <c r="C100" t="s">
        <v>2900</v>
      </c>
      <c r="D100" t="s">
        <v>2911</v>
      </c>
      <c r="E100" t="s">
        <v>2912</v>
      </c>
      <c r="F100" t="s">
        <v>2694</v>
      </c>
      <c r="G100" t="s">
        <v>2913</v>
      </c>
    </row>
    <row r="101" spans="1:7" ht="11.25" customHeight="1">
      <c r="A101" s="300" t="s">
        <v>14</v>
      </c>
      <c r="B101" t="s">
        <v>2899</v>
      </c>
      <c r="C101" t="s">
        <v>2900</v>
      </c>
      <c r="D101" t="s">
        <v>2914</v>
      </c>
      <c r="E101" t="s">
        <v>2915</v>
      </c>
      <c r="F101" t="s">
        <v>2680</v>
      </c>
      <c r="G101" t="s">
        <v>2916</v>
      </c>
    </row>
    <row r="102" spans="1:7" ht="11.25" customHeight="1">
      <c r="A102" s="300" t="s">
        <v>14</v>
      </c>
      <c r="B102" t="s">
        <v>2917</v>
      </c>
      <c r="C102" t="s">
        <v>2918</v>
      </c>
      <c r="D102" t="s">
        <v>2919</v>
      </c>
      <c r="E102" t="s">
        <v>2920</v>
      </c>
      <c r="F102" t="s">
        <v>2680</v>
      </c>
      <c r="G102" t="s">
        <v>2921</v>
      </c>
    </row>
    <row r="103" spans="1:7" ht="11.25" customHeight="1">
      <c r="A103" s="300" t="s">
        <v>14</v>
      </c>
      <c r="B103" t="s">
        <v>2917</v>
      </c>
      <c r="C103" t="s">
        <v>2918</v>
      </c>
      <c r="D103" t="s">
        <v>2922</v>
      </c>
      <c r="E103" t="s">
        <v>2923</v>
      </c>
      <c r="F103" t="s">
        <v>2680</v>
      </c>
      <c r="G103" t="s">
        <v>2924</v>
      </c>
    </row>
    <row r="104" spans="1:7" ht="11.25" customHeight="1">
      <c r="A104" s="300" t="s">
        <v>14</v>
      </c>
      <c r="B104" t="s">
        <v>2917</v>
      </c>
      <c r="C104" t="s">
        <v>2918</v>
      </c>
      <c r="D104" t="s">
        <v>2925</v>
      </c>
      <c r="E104" t="s">
        <v>2926</v>
      </c>
      <c r="F104" t="s">
        <v>2680</v>
      </c>
      <c r="G104" t="s">
        <v>2927</v>
      </c>
    </row>
    <row r="105" spans="1:7" ht="11.25" customHeight="1">
      <c r="A105" s="300" t="s">
        <v>14</v>
      </c>
      <c r="B105" t="s">
        <v>2917</v>
      </c>
      <c r="C105" t="s">
        <v>2918</v>
      </c>
      <c r="D105" t="s">
        <v>2928</v>
      </c>
      <c r="E105" t="s">
        <v>2929</v>
      </c>
      <c r="F105" t="s">
        <v>2680</v>
      </c>
      <c r="G105" t="s">
        <v>2930</v>
      </c>
    </row>
    <row r="106" spans="1:7" ht="11.25" customHeight="1">
      <c r="A106" s="300" t="s">
        <v>14</v>
      </c>
      <c r="B106" t="s">
        <v>2917</v>
      </c>
      <c r="C106" t="s">
        <v>2918</v>
      </c>
      <c r="D106" t="s">
        <v>2931</v>
      </c>
      <c r="E106" t="s">
        <v>2932</v>
      </c>
      <c r="F106" t="s">
        <v>2683</v>
      </c>
      <c r="G106" t="s">
        <v>2933</v>
      </c>
    </row>
    <row r="107" spans="1:7" ht="11.25" customHeight="1">
      <c r="A107" s="300" t="s">
        <v>14</v>
      </c>
      <c r="B107" t="s">
        <v>2917</v>
      </c>
      <c r="C107" t="s">
        <v>2918</v>
      </c>
      <c r="D107" t="s">
        <v>2934</v>
      </c>
      <c r="E107" t="s">
        <v>2935</v>
      </c>
      <c r="F107" t="s">
        <v>2680</v>
      </c>
      <c r="G107" t="s">
        <v>2936</v>
      </c>
    </row>
    <row r="108" spans="1:7" ht="11.25" customHeight="1">
      <c r="A108" s="300" t="s">
        <v>14</v>
      </c>
      <c r="B108" t="s">
        <v>2917</v>
      </c>
      <c r="C108" t="s">
        <v>2918</v>
      </c>
      <c r="D108" t="s">
        <v>2917</v>
      </c>
      <c r="E108" t="s">
        <v>2918</v>
      </c>
      <c r="F108" t="s">
        <v>2677</v>
      </c>
      <c r="G108" t="s">
        <v>2937</v>
      </c>
    </row>
    <row r="109" spans="1:7" ht="11.25" customHeight="1">
      <c r="A109" s="300" t="s">
        <v>14</v>
      </c>
      <c r="B109" t="s">
        <v>2917</v>
      </c>
      <c r="C109" t="s">
        <v>2918</v>
      </c>
      <c r="D109" t="s">
        <v>2938</v>
      </c>
      <c r="E109" t="s">
        <v>2939</v>
      </c>
      <c r="F109" t="s">
        <v>2680</v>
      </c>
      <c r="G109" t="s">
        <v>2940</v>
      </c>
    </row>
    <row r="110" spans="1:7" ht="11.25" customHeight="1">
      <c r="A110" s="300" t="s">
        <v>14</v>
      </c>
      <c r="B110" t="s">
        <v>2917</v>
      </c>
      <c r="C110" t="s">
        <v>2918</v>
      </c>
      <c r="D110" t="s">
        <v>2941</v>
      </c>
      <c r="E110" t="s">
        <v>2942</v>
      </c>
      <c r="F110" t="s">
        <v>2680</v>
      </c>
      <c r="G110" t="s">
        <v>2943</v>
      </c>
    </row>
    <row r="111" spans="1:7" ht="11.25" customHeight="1">
      <c r="A111" s="300" t="s">
        <v>14</v>
      </c>
      <c r="B111" t="s">
        <v>2917</v>
      </c>
      <c r="C111" t="s">
        <v>2918</v>
      </c>
      <c r="D111" t="s">
        <v>2944</v>
      </c>
      <c r="E111" t="s">
        <v>2945</v>
      </c>
      <c r="F111" t="s">
        <v>2680</v>
      </c>
      <c r="G111" t="s">
        <v>2946</v>
      </c>
    </row>
    <row r="112" spans="1:7" ht="11.25" customHeight="1">
      <c r="A112" s="300" t="s">
        <v>14</v>
      </c>
      <c r="B112" t="s">
        <v>2917</v>
      </c>
      <c r="C112" t="s">
        <v>2918</v>
      </c>
      <c r="D112" t="s">
        <v>2947</v>
      </c>
      <c r="E112" t="s">
        <v>2948</v>
      </c>
      <c r="F112" t="s">
        <v>2680</v>
      </c>
      <c r="G112" t="s">
        <v>2949</v>
      </c>
    </row>
    <row r="113" spans="1:7" ht="11.25" customHeight="1">
      <c r="A113" s="300" t="s">
        <v>14</v>
      </c>
      <c r="B113" t="s">
        <v>2917</v>
      </c>
      <c r="C113" t="s">
        <v>2918</v>
      </c>
      <c r="D113" t="s">
        <v>2950</v>
      </c>
      <c r="E113" t="s">
        <v>2951</v>
      </c>
      <c r="F113" t="s">
        <v>2680</v>
      </c>
      <c r="G113" t="s">
        <v>2952</v>
      </c>
    </row>
    <row r="114" spans="1:7" ht="11.25" customHeight="1">
      <c r="A114" s="300" t="s">
        <v>14</v>
      </c>
      <c r="B114" t="s">
        <v>2917</v>
      </c>
      <c r="C114" t="s">
        <v>2918</v>
      </c>
      <c r="D114" t="s">
        <v>2953</v>
      </c>
      <c r="E114" t="s">
        <v>2954</v>
      </c>
      <c r="F114" t="s">
        <v>2680</v>
      </c>
      <c r="G114" t="s">
        <v>2955</v>
      </c>
    </row>
    <row r="115" spans="1:7" ht="11.25" customHeight="1">
      <c r="A115" s="300" t="s">
        <v>14</v>
      </c>
      <c r="B115" t="s">
        <v>2956</v>
      </c>
      <c r="C115" t="s">
        <v>2957</v>
      </c>
      <c r="D115" t="s">
        <v>2958</v>
      </c>
      <c r="E115" t="s">
        <v>2959</v>
      </c>
      <c r="F115" t="s">
        <v>2680</v>
      </c>
      <c r="G115" t="s">
        <v>2960</v>
      </c>
    </row>
    <row r="116" spans="1:7" ht="11.25" customHeight="1">
      <c r="A116" s="300" t="s">
        <v>14</v>
      </c>
      <c r="B116" t="s">
        <v>2956</v>
      </c>
      <c r="C116" t="s">
        <v>2957</v>
      </c>
      <c r="D116" t="s">
        <v>2961</v>
      </c>
      <c r="E116" t="s">
        <v>2962</v>
      </c>
      <c r="F116" t="s">
        <v>2680</v>
      </c>
      <c r="G116" t="s">
        <v>2963</v>
      </c>
    </row>
    <row r="117" spans="1:7" ht="11.25" customHeight="1">
      <c r="A117" s="300" t="s">
        <v>14</v>
      </c>
      <c r="B117" t="s">
        <v>2956</v>
      </c>
      <c r="C117" t="s">
        <v>2957</v>
      </c>
      <c r="D117" t="s">
        <v>2964</v>
      </c>
      <c r="E117" t="s">
        <v>2965</v>
      </c>
      <c r="F117" t="s">
        <v>2680</v>
      </c>
      <c r="G117" t="s">
        <v>2966</v>
      </c>
    </row>
    <row r="118" spans="1:7" ht="11.25" customHeight="1">
      <c r="A118" s="300" t="s">
        <v>14</v>
      </c>
      <c r="B118" t="s">
        <v>2956</v>
      </c>
      <c r="C118" t="s">
        <v>2957</v>
      </c>
      <c r="D118" t="s">
        <v>2967</v>
      </c>
      <c r="E118" t="s">
        <v>2968</v>
      </c>
      <c r="F118" t="s">
        <v>2680</v>
      </c>
      <c r="G118" t="s">
        <v>2969</v>
      </c>
    </row>
    <row r="119" spans="1:7" ht="11.25" customHeight="1">
      <c r="A119" s="300" t="s">
        <v>14</v>
      </c>
      <c r="B119" t="s">
        <v>2956</v>
      </c>
      <c r="C119" t="s">
        <v>2957</v>
      </c>
      <c r="D119" t="s">
        <v>2970</v>
      </c>
      <c r="E119" t="s">
        <v>2971</v>
      </c>
      <c r="F119" t="s">
        <v>2680</v>
      </c>
      <c r="G119" t="s">
        <v>2972</v>
      </c>
    </row>
    <row r="120" spans="1:7" ht="11.25" customHeight="1">
      <c r="A120" s="300" t="s">
        <v>14</v>
      </c>
      <c r="B120" t="s">
        <v>2956</v>
      </c>
      <c r="C120" t="s">
        <v>2957</v>
      </c>
      <c r="D120" t="s">
        <v>2956</v>
      </c>
      <c r="E120" t="s">
        <v>2957</v>
      </c>
      <c r="F120" t="s">
        <v>2677</v>
      </c>
      <c r="G120" t="s">
        <v>2973</v>
      </c>
    </row>
    <row r="121" spans="1:7" ht="11.25" customHeight="1">
      <c r="A121" s="300" t="s">
        <v>14</v>
      </c>
      <c r="B121" t="s">
        <v>2956</v>
      </c>
      <c r="C121" t="s">
        <v>2957</v>
      </c>
      <c r="D121" t="s">
        <v>2974</v>
      </c>
      <c r="E121" t="s">
        <v>2975</v>
      </c>
      <c r="F121" t="s">
        <v>2680</v>
      </c>
      <c r="G121" t="s">
        <v>2976</v>
      </c>
    </row>
    <row r="122" spans="1:7" ht="11.25" customHeight="1">
      <c r="A122" s="300" t="s">
        <v>14</v>
      </c>
      <c r="B122" t="s">
        <v>2956</v>
      </c>
      <c r="C122" t="s">
        <v>2957</v>
      </c>
      <c r="D122" t="s">
        <v>2977</v>
      </c>
      <c r="E122" t="s">
        <v>2978</v>
      </c>
      <c r="F122" t="s">
        <v>2680</v>
      </c>
      <c r="G122" t="s">
        <v>2979</v>
      </c>
    </row>
    <row r="123" spans="1:7" ht="11.25" customHeight="1">
      <c r="A123" s="300" t="s">
        <v>14</v>
      </c>
      <c r="B123" t="s">
        <v>2956</v>
      </c>
      <c r="C123" t="s">
        <v>2957</v>
      </c>
      <c r="D123" t="s">
        <v>2980</v>
      </c>
      <c r="E123" t="s">
        <v>2981</v>
      </c>
      <c r="F123" t="s">
        <v>2680</v>
      </c>
      <c r="G123" t="s">
        <v>2982</v>
      </c>
    </row>
    <row r="124" spans="1:7" ht="11.25" customHeight="1">
      <c r="A124" s="300" t="s">
        <v>14</v>
      </c>
      <c r="B124" t="s">
        <v>2956</v>
      </c>
      <c r="C124" t="s">
        <v>2957</v>
      </c>
      <c r="D124" t="s">
        <v>2983</v>
      </c>
      <c r="E124" t="s">
        <v>2984</v>
      </c>
      <c r="F124" t="s">
        <v>2680</v>
      </c>
      <c r="G124" t="s">
        <v>2985</v>
      </c>
    </row>
    <row r="125" spans="1:7" ht="11.25" customHeight="1">
      <c r="A125" s="300" t="s">
        <v>14</v>
      </c>
      <c r="B125" t="s">
        <v>2956</v>
      </c>
      <c r="C125" t="s">
        <v>2957</v>
      </c>
      <c r="D125" t="s">
        <v>2986</v>
      </c>
      <c r="E125" t="s">
        <v>2987</v>
      </c>
      <c r="F125" t="s">
        <v>2680</v>
      </c>
      <c r="G125" t="s">
        <v>2988</v>
      </c>
    </row>
    <row r="126" spans="1:7" ht="11.25" customHeight="1">
      <c r="A126" s="300" t="s">
        <v>14</v>
      </c>
      <c r="B126" t="s">
        <v>2956</v>
      </c>
      <c r="C126" t="s">
        <v>2957</v>
      </c>
      <c r="D126" t="s">
        <v>2989</v>
      </c>
      <c r="E126" t="s">
        <v>2990</v>
      </c>
      <c r="F126" t="s">
        <v>2680</v>
      </c>
      <c r="G126" t="s">
        <v>2991</v>
      </c>
    </row>
    <row r="127" spans="1:7" ht="11.25" customHeight="1">
      <c r="A127" s="300" t="s">
        <v>14</v>
      </c>
      <c r="B127" t="s">
        <v>2956</v>
      </c>
      <c r="C127" t="s">
        <v>2957</v>
      </c>
      <c r="D127" t="s">
        <v>2992</v>
      </c>
      <c r="E127" t="s">
        <v>2993</v>
      </c>
      <c r="F127" t="s">
        <v>2680</v>
      </c>
      <c r="G127" t="s">
        <v>2994</v>
      </c>
    </row>
    <row r="128" spans="1:7" ht="11.25" customHeight="1">
      <c r="A128" s="300" t="s">
        <v>14</v>
      </c>
      <c r="B128" t="s">
        <v>2995</v>
      </c>
      <c r="C128" t="s">
        <v>2996</v>
      </c>
      <c r="D128" t="s">
        <v>2997</v>
      </c>
      <c r="E128" t="s">
        <v>2998</v>
      </c>
      <c r="F128" t="s">
        <v>2680</v>
      </c>
      <c r="G128" t="s">
        <v>2999</v>
      </c>
    </row>
    <row r="129" spans="1:7" ht="11.25" customHeight="1">
      <c r="A129" s="300" t="s">
        <v>14</v>
      </c>
      <c r="B129" t="s">
        <v>2995</v>
      </c>
      <c r="C129" t="s">
        <v>2996</v>
      </c>
      <c r="D129" t="s">
        <v>3000</v>
      </c>
      <c r="E129" t="s">
        <v>3001</v>
      </c>
      <c r="F129" t="s">
        <v>2683</v>
      </c>
      <c r="G129" t="s">
        <v>3002</v>
      </c>
    </row>
    <row r="130" spans="1:7" ht="11.25" customHeight="1">
      <c r="A130" s="300" t="s">
        <v>14</v>
      </c>
      <c r="B130" t="s">
        <v>2995</v>
      </c>
      <c r="C130" t="s">
        <v>2996</v>
      </c>
      <c r="D130" t="s">
        <v>3003</v>
      </c>
      <c r="E130" t="s">
        <v>3004</v>
      </c>
      <c r="F130" t="s">
        <v>2680</v>
      </c>
      <c r="G130" t="s">
        <v>3005</v>
      </c>
    </row>
    <row r="131" spans="1:7" ht="11.25" customHeight="1">
      <c r="A131" s="300" t="s">
        <v>14</v>
      </c>
      <c r="B131" t="s">
        <v>2995</v>
      </c>
      <c r="C131" t="s">
        <v>2996</v>
      </c>
      <c r="D131" t="s">
        <v>3006</v>
      </c>
      <c r="E131" t="s">
        <v>3007</v>
      </c>
      <c r="F131" t="s">
        <v>2680</v>
      </c>
      <c r="G131" t="s">
        <v>3008</v>
      </c>
    </row>
    <row r="132" spans="1:7" ht="11.25" customHeight="1">
      <c r="A132" s="300" t="s">
        <v>14</v>
      </c>
      <c r="B132" t="s">
        <v>2995</v>
      </c>
      <c r="C132" t="s">
        <v>2996</v>
      </c>
      <c r="D132" t="s">
        <v>3009</v>
      </c>
      <c r="E132" t="s">
        <v>3010</v>
      </c>
      <c r="F132" t="s">
        <v>2680</v>
      </c>
      <c r="G132" t="s">
        <v>3011</v>
      </c>
    </row>
    <row r="133" spans="1:7" ht="11.25" customHeight="1">
      <c r="A133" s="300" t="s">
        <v>14</v>
      </c>
      <c r="B133" t="s">
        <v>2995</v>
      </c>
      <c r="C133" t="s">
        <v>2996</v>
      </c>
      <c r="D133" t="s">
        <v>3012</v>
      </c>
      <c r="E133" t="s">
        <v>3013</v>
      </c>
      <c r="F133" t="s">
        <v>2680</v>
      </c>
      <c r="G133" t="s">
        <v>3014</v>
      </c>
    </row>
    <row r="134" spans="1:7" ht="11.25" customHeight="1">
      <c r="A134" s="300" t="s">
        <v>14</v>
      </c>
      <c r="B134" t="s">
        <v>2995</v>
      </c>
      <c r="C134" t="s">
        <v>2996</v>
      </c>
      <c r="D134" t="s">
        <v>3015</v>
      </c>
      <c r="E134" t="s">
        <v>3016</v>
      </c>
      <c r="F134" t="s">
        <v>2680</v>
      </c>
      <c r="G134" t="s">
        <v>3017</v>
      </c>
    </row>
    <row r="135" spans="1:7" ht="11.25" customHeight="1">
      <c r="A135" s="300" t="s">
        <v>14</v>
      </c>
      <c r="B135" t="s">
        <v>2995</v>
      </c>
      <c r="C135" t="s">
        <v>2996</v>
      </c>
      <c r="D135" t="s">
        <v>3018</v>
      </c>
      <c r="E135" t="s">
        <v>3019</v>
      </c>
      <c r="F135" t="s">
        <v>2680</v>
      </c>
      <c r="G135" t="s">
        <v>3020</v>
      </c>
    </row>
    <row r="136" spans="1:7" ht="11.25" customHeight="1">
      <c r="A136" s="300" t="s">
        <v>14</v>
      </c>
      <c r="B136" t="s">
        <v>2995</v>
      </c>
      <c r="C136" t="s">
        <v>2996</v>
      </c>
      <c r="D136" t="s">
        <v>3021</v>
      </c>
      <c r="E136" t="s">
        <v>3022</v>
      </c>
      <c r="F136" t="s">
        <v>2680</v>
      </c>
      <c r="G136" t="s">
        <v>3023</v>
      </c>
    </row>
    <row r="137" spans="1:7" ht="11.25" customHeight="1">
      <c r="A137" s="300" t="s">
        <v>14</v>
      </c>
      <c r="B137" t="s">
        <v>2995</v>
      </c>
      <c r="C137" t="s">
        <v>2996</v>
      </c>
      <c r="D137" t="s">
        <v>2995</v>
      </c>
      <c r="E137" t="s">
        <v>2996</v>
      </c>
      <c r="F137" t="s">
        <v>2677</v>
      </c>
      <c r="G137" t="s">
        <v>3024</v>
      </c>
    </row>
    <row r="138" spans="1:7" ht="11.25" customHeight="1">
      <c r="A138" s="300" t="s">
        <v>14</v>
      </c>
      <c r="B138" t="s">
        <v>2995</v>
      </c>
      <c r="C138" t="s">
        <v>2996</v>
      </c>
      <c r="D138" t="s">
        <v>3025</v>
      </c>
      <c r="E138" t="s">
        <v>3026</v>
      </c>
      <c r="F138" t="s">
        <v>2680</v>
      </c>
      <c r="G138" t="s">
        <v>3027</v>
      </c>
    </row>
    <row r="139" spans="1:7" ht="11.25" customHeight="1">
      <c r="A139" s="300" t="s">
        <v>14</v>
      </c>
      <c r="B139" t="s">
        <v>3028</v>
      </c>
      <c r="C139" t="s">
        <v>3029</v>
      </c>
      <c r="D139" t="s">
        <v>3030</v>
      </c>
      <c r="E139" t="s">
        <v>3031</v>
      </c>
      <c r="F139" t="s">
        <v>2680</v>
      </c>
      <c r="G139" t="s">
        <v>3032</v>
      </c>
    </row>
    <row r="140" spans="1:7" ht="11.25" customHeight="1">
      <c r="A140" s="300" t="s">
        <v>14</v>
      </c>
      <c r="B140" t="s">
        <v>3028</v>
      </c>
      <c r="C140" t="s">
        <v>3029</v>
      </c>
      <c r="D140" t="s">
        <v>3028</v>
      </c>
      <c r="E140" t="s">
        <v>3029</v>
      </c>
      <c r="F140" t="s">
        <v>2677</v>
      </c>
      <c r="G140" t="s">
        <v>3033</v>
      </c>
    </row>
    <row r="141" spans="1:7" ht="11.25" customHeight="1">
      <c r="A141" s="300" t="s">
        <v>14</v>
      </c>
      <c r="B141" t="s">
        <v>3028</v>
      </c>
      <c r="C141" t="s">
        <v>3029</v>
      </c>
      <c r="D141" t="s">
        <v>3034</v>
      </c>
      <c r="E141" t="s">
        <v>3035</v>
      </c>
      <c r="F141" t="s">
        <v>2680</v>
      </c>
      <c r="G141" t="s">
        <v>3036</v>
      </c>
    </row>
  </sheetData>
  <sheetProtection insertRows="0" deleteColumns="0" deleteRows="0" sort="0" autoFilter="0"/>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7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C99"/>
  </sheetPr>
  <dimension ref="A1:D1"/>
  <sheetViews>
    <sheetView showGridLines="0" workbookViewId="0"/>
  </sheetViews>
  <sheetFormatPr defaultColWidth="9.140625" defaultRowHeight="11.25" customHeight="1"/>
  <cols>
    <col min="1" max="4" width="9.140625" style="1870"/>
  </cols>
  <sheetData>
    <row r="1" spans="1:4" ht="11.25" customHeight="1">
      <c r="A1" s="740" t="s">
        <v>3037</v>
      </c>
      <c r="B1" s="740" t="s">
        <v>3038</v>
      </c>
      <c r="C1" s="740" t="s">
        <v>3039</v>
      </c>
      <c r="D1" s="740" t="s">
        <v>3040</v>
      </c>
    </row>
  </sheetData>
  <sheetProtection insertRows="0" deleteColumns="0" deleteRows="0" sort="0" autoFilter="0"/>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7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C99"/>
  </sheetPr>
  <dimension ref="A1"/>
  <sheetViews>
    <sheetView workbookViewId="0"/>
  </sheetViews>
  <sheetFormatPr defaultRowHeight="11.25" customHeight="1"/>
  <sheetData/>
  <sheetProtection insertRows="0" deleteColumns="0" deleteRows="0" sort="0" autoFilter="0"/>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7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C99"/>
  </sheetPr>
  <dimension ref="A1:B2"/>
  <sheetViews>
    <sheetView showGridLines="0" workbookViewId="0"/>
  </sheetViews>
  <sheetFormatPr defaultColWidth="9.140625" defaultRowHeight="11.25" customHeight="1"/>
  <cols>
    <col min="1" max="2" width="9.140625" style="3"/>
  </cols>
  <sheetData>
    <row r="1" spans="1:2" ht="11.25" customHeight="1">
      <c r="A1" s="3" t="s">
        <v>131</v>
      </c>
      <c r="B1" s="3" t="s">
        <v>3041</v>
      </c>
    </row>
    <row r="2" spans="1:2" ht="11.25" customHeight="1">
      <c r="A2" s="1971" t="s">
        <v>97</v>
      </c>
      <c r="B2" s="1970" t="s">
        <v>3042</v>
      </c>
    </row>
  </sheetData>
  <sheetProtection insertRows="0" deleteColumns="0" deleteRows="0" sort="0" autoFilter="0"/>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7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C99"/>
  </sheetPr>
  <dimension ref="A1:B11"/>
  <sheetViews>
    <sheetView showGridLines="0" workbookViewId="0"/>
  </sheetViews>
  <sheetFormatPr defaultColWidth="9.140625" defaultRowHeight="11.25" customHeight="1"/>
  <cols>
    <col min="1" max="1" width="9.140625" style="1870"/>
    <col min="2" max="2" width="65.28515625" style="1870" customWidth="1"/>
  </cols>
  <sheetData>
    <row r="1" spans="1:2" ht="11.25" customHeight="1">
      <c r="A1" s="740" t="s">
        <v>3043</v>
      </c>
      <c r="B1" s="740" t="s">
        <v>3044</v>
      </c>
    </row>
    <row r="2" spans="1:2" ht="11.25" customHeight="1">
      <c r="A2" s="740">
        <v>4213775</v>
      </c>
      <c r="B2" s="740" t="s">
        <v>782</v>
      </c>
    </row>
    <row r="3" spans="1:2" ht="11.25" customHeight="1">
      <c r="A3" s="740">
        <v>4213784</v>
      </c>
      <c r="B3" s="740" t="s">
        <v>818</v>
      </c>
    </row>
    <row r="4" spans="1:2" ht="11.25" customHeight="1">
      <c r="A4" s="740">
        <v>4213781</v>
      </c>
      <c r="B4" s="740" t="s">
        <v>811</v>
      </c>
    </row>
    <row r="5" spans="1:2" ht="11.25" customHeight="1">
      <c r="A5" s="740">
        <v>4213776</v>
      </c>
      <c r="B5" s="740" t="s">
        <v>169</v>
      </c>
    </row>
    <row r="6" spans="1:2" ht="11.25" customHeight="1">
      <c r="A6" s="740">
        <v>4213777</v>
      </c>
      <c r="B6" s="740" t="s">
        <v>175</v>
      </c>
    </row>
    <row r="7" spans="1:2" ht="11.25" customHeight="1">
      <c r="A7" s="740">
        <v>4213778</v>
      </c>
      <c r="B7" s="740" t="s">
        <v>181</v>
      </c>
    </row>
    <row r="8" spans="1:2" ht="11.25" customHeight="1">
      <c r="A8" s="740">
        <v>4213780</v>
      </c>
      <c r="B8" s="740" t="s">
        <v>187</v>
      </c>
    </row>
    <row r="9" spans="1:2" ht="11.25" customHeight="1">
      <c r="A9" s="740">
        <v>4213779</v>
      </c>
      <c r="B9" s="740" t="s">
        <v>950</v>
      </c>
    </row>
    <row r="10" spans="1:2" ht="11.25" customHeight="1">
      <c r="A10" s="740">
        <v>4213783</v>
      </c>
      <c r="B10" s="740" t="s">
        <v>965</v>
      </c>
    </row>
    <row r="11" spans="1:2" ht="11.25" customHeight="1">
      <c r="A11" s="740">
        <v>4213782</v>
      </c>
      <c r="B11" s="740" t="s">
        <v>196</v>
      </c>
    </row>
  </sheetData>
  <sheetProtection insertRows="0" deleteColumns="0" deleteRows="0" sort="0" autoFilter="0"/>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7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C99"/>
  </sheetPr>
  <dimension ref="A1:B4"/>
  <sheetViews>
    <sheetView showGridLines="0" workbookViewId="0"/>
  </sheetViews>
  <sheetFormatPr defaultColWidth="9.140625" defaultRowHeight="11.25" customHeight="1"/>
  <cols>
    <col min="1" max="1" width="9.140625" style="1870"/>
    <col min="2" max="2" width="65.28515625" style="1870" customWidth="1"/>
  </cols>
  <sheetData>
    <row r="1" spans="1:2" ht="11.25" customHeight="1">
      <c r="A1" s="740" t="s">
        <v>3043</v>
      </c>
      <c r="B1" s="740" t="s">
        <v>3045</v>
      </c>
    </row>
    <row r="2" spans="1:2" ht="11.25" customHeight="1">
      <c r="A2" s="740" t="s">
        <v>118</v>
      </c>
      <c r="B2" s="740" t="s">
        <v>1061</v>
      </c>
    </row>
    <row r="3" spans="1:2" ht="11.25" customHeight="1">
      <c r="A3" s="740" t="s">
        <v>3046</v>
      </c>
      <c r="B3" s="740" t="s">
        <v>1070</v>
      </c>
    </row>
    <row r="4" spans="1:2" ht="11.25" customHeight="1">
      <c r="A4" s="740" t="s">
        <v>3047</v>
      </c>
      <c r="B4" s="740" t="s">
        <v>1080</v>
      </c>
    </row>
  </sheetData>
  <sheetProtection insertRows="0" deleteColumns="0" deleteRows="0" sort="0" autoFilter="0"/>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3" tint="0.59999389629810485"/>
  </sheetPr>
  <dimension ref="A1:AS17"/>
  <sheetViews>
    <sheetView showGridLines="0" topLeftCell="C3" zoomScale="90" workbookViewId="0"/>
  </sheetViews>
  <sheetFormatPr defaultColWidth="10.5703125" defaultRowHeight="14.25" customHeight="1"/>
  <cols>
    <col min="1" max="1" width="9.140625" style="1721" hidden="1" customWidth="1"/>
    <col min="2" max="2" width="9.140625" style="1829" hidden="1" customWidth="1"/>
    <col min="3" max="3" width="3.7109375" style="1743" customWidth="1"/>
    <col min="4" max="4" width="5.5703125" style="1829" customWidth="1"/>
    <col min="5" max="5" width="48.42578125" style="1829" customWidth="1"/>
    <col min="6" max="6" width="38.140625" style="1829" customWidth="1"/>
    <col min="7" max="7" width="1.7109375" style="1829" hidden="1" customWidth="1"/>
    <col min="8" max="11" width="19.85546875" style="1829" hidden="1" customWidth="1"/>
    <col min="12" max="12" width="9.7109375" style="1829" hidden="1" customWidth="1"/>
    <col min="13" max="18" width="19.85546875" style="1829" hidden="1" customWidth="1"/>
    <col min="19" max="19" width="1.7109375" style="1829" hidden="1" customWidth="1"/>
    <col min="20" max="22" width="19.85546875" style="1829" hidden="1" customWidth="1"/>
    <col min="23" max="23" width="1.7109375" style="1829" hidden="1" customWidth="1"/>
    <col min="24" max="26" width="19.85546875" style="1829" hidden="1" customWidth="1"/>
    <col min="27" max="27" width="1.7109375" style="1829" hidden="1" customWidth="1"/>
    <col min="28" max="29" width="19.85546875" style="1829" customWidth="1"/>
    <col min="30" max="30" width="1.7109375" style="1829" hidden="1" customWidth="1"/>
    <col min="31" max="33" width="103.7109375" style="1829" hidden="1" customWidth="1"/>
    <col min="34" max="34" width="103.7109375" style="1829" customWidth="1"/>
    <col min="35" max="35" width="3.7109375" style="1648" customWidth="1"/>
    <col min="36" max="38" width="10.5703125" style="1755"/>
    <col min="39" max="39" width="13.7109375" style="1755" hidden="1" customWidth="1"/>
    <col min="40" max="40" width="15.42578125" style="1755" customWidth="1"/>
    <col min="41" max="41" width="16.28515625" style="1755" customWidth="1"/>
    <col min="42" max="45" width="10.5703125" style="1755"/>
  </cols>
  <sheetData>
    <row r="1" spans="1:45" ht="14.25" hidden="1" customHeight="1">
      <c r="E1" s="347"/>
      <c r="F1" s="347"/>
      <c r="G1" s="347"/>
      <c r="H1" s="2115" t="s">
        <v>346</v>
      </c>
      <c r="I1" s="2115"/>
      <c r="J1" s="2115"/>
      <c r="K1" s="2115"/>
      <c r="L1" s="2115"/>
      <c r="M1" s="2115"/>
      <c r="N1" s="2115"/>
      <c r="O1" s="2115"/>
      <c r="P1" s="2115"/>
      <c r="Q1" s="2115"/>
      <c r="R1" s="2115"/>
      <c r="T1" s="2115" t="s">
        <v>347</v>
      </c>
      <c r="U1" s="2115"/>
      <c r="V1" s="2115"/>
      <c r="X1" s="2115" t="s">
        <v>348</v>
      </c>
      <c r="Y1" s="2115"/>
      <c r="Z1" s="2115"/>
      <c r="AB1" s="2115" t="s">
        <v>349</v>
      </c>
      <c r="AC1" s="2115"/>
    </row>
    <row r="2" spans="1:45" ht="14.25" hidden="1" customHeight="1"/>
    <row r="3" spans="1:45" s="1649" customFormat="1" ht="6" customHeight="1">
      <c r="C3" s="614"/>
      <c r="D3" s="615"/>
      <c r="E3" s="615"/>
      <c r="F3" s="615"/>
      <c r="G3" s="615"/>
      <c r="H3" s="615" t="s">
        <v>350</v>
      </c>
      <c r="I3" s="615"/>
      <c r="J3" s="615"/>
      <c r="K3" s="615"/>
      <c r="L3" s="615"/>
      <c r="M3" s="615"/>
      <c r="N3" s="615"/>
      <c r="O3" s="615"/>
      <c r="P3" s="615"/>
      <c r="Q3" s="615"/>
      <c r="R3" s="615"/>
      <c r="S3" s="615"/>
      <c r="T3" s="615"/>
      <c r="U3" s="615"/>
      <c r="V3" s="615"/>
      <c r="W3" s="615"/>
      <c r="X3" s="615"/>
      <c r="Y3" s="615"/>
      <c r="Z3" s="615"/>
      <c r="AA3" s="615"/>
      <c r="AB3" s="615"/>
      <c r="AC3" s="615"/>
      <c r="AD3" s="615"/>
      <c r="AE3" s="615"/>
      <c r="AF3" s="615"/>
      <c r="AG3" s="615"/>
      <c r="AH3" s="615"/>
      <c r="AJ3" s="439"/>
      <c r="AK3" s="439"/>
      <c r="AL3" s="439"/>
      <c r="AM3" s="439"/>
      <c r="AN3" s="439"/>
      <c r="AO3" s="439"/>
      <c r="AP3" s="439"/>
      <c r="AQ3" s="439"/>
      <c r="AR3" s="439"/>
      <c r="AS3" s="439"/>
    </row>
    <row r="4" spans="1:45" ht="24" customHeight="1">
      <c r="C4" s="383"/>
      <c r="D4" s="2000" t="str">
        <f>"Форма 2. Общая информация об объектах "&amp;TEMPLATE_SPHERE_RUS&amp;" регулируемой организации"&amp;IF(TEMPLATE_SPHERE="HEAT",", единых теплоснабжающих организациях в ценовых зонах теплоснабжения, теплоснабжающих организациях в ценовых зонах теплоснабжения и теплосетевых организациях в ценовых зонах теплоснабжения","")</f>
        <v>Форма 2. Общая информация об объектах горячего водоснабжения регулируемой организации</v>
      </c>
      <c r="E4" s="2001"/>
      <c r="F4" s="2001"/>
      <c r="G4" s="2001"/>
      <c r="H4" s="2001"/>
      <c r="I4" s="2001"/>
      <c r="J4" s="2001"/>
      <c r="K4" s="2001"/>
      <c r="L4" s="2001"/>
      <c r="M4" s="2001"/>
      <c r="N4" s="2001"/>
      <c r="O4" s="2001"/>
      <c r="P4" s="2001"/>
      <c r="Q4" s="2001"/>
      <c r="R4" s="2002"/>
      <c r="S4" s="754"/>
      <c r="T4" s="613"/>
      <c r="U4" s="613"/>
      <c r="V4" s="613"/>
      <c r="W4" s="613"/>
      <c r="X4" s="613"/>
      <c r="Y4" s="613"/>
      <c r="Z4" s="613"/>
      <c r="AA4" s="613"/>
      <c r="AB4" s="613"/>
      <c r="AC4" s="613"/>
      <c r="AD4" s="613"/>
      <c r="AE4" s="419"/>
      <c r="AF4" s="419"/>
      <c r="AG4" s="419"/>
      <c r="AH4" s="419"/>
      <c r="AI4" s="416"/>
    </row>
    <row r="5" spans="1:45" s="1829" customFormat="1" ht="17.25" customHeight="1">
      <c r="A5" s="669"/>
      <c r="C5" s="727"/>
      <c r="D5" s="2112" t="str">
        <f>IF(org=0,"Не определено",org)</f>
        <v>МУП г. Астрахани "Коммунэнерго"</v>
      </c>
      <c r="E5" s="2113"/>
      <c r="F5" s="2113"/>
      <c r="G5" s="2113"/>
      <c r="H5" s="2113"/>
      <c r="I5" s="2113"/>
      <c r="J5" s="2113"/>
      <c r="K5" s="2113"/>
      <c r="L5" s="2113"/>
      <c r="M5" s="2113"/>
      <c r="N5" s="2113"/>
      <c r="O5" s="2113"/>
      <c r="P5" s="2113"/>
      <c r="Q5" s="2113"/>
      <c r="R5" s="2114"/>
      <c r="S5" s="754"/>
      <c r="T5" s="613"/>
      <c r="U5" s="613"/>
      <c r="V5" s="613"/>
      <c r="W5" s="613"/>
      <c r="X5" s="613"/>
      <c r="Y5" s="613"/>
      <c r="Z5" s="613"/>
      <c r="AA5" s="613"/>
      <c r="AB5" s="613"/>
      <c r="AC5" s="613"/>
      <c r="AD5" s="613"/>
      <c r="AE5" s="419"/>
      <c r="AF5" s="419"/>
      <c r="AG5" s="419"/>
      <c r="AH5" s="419"/>
      <c r="AI5" s="416"/>
      <c r="AJ5" s="439"/>
      <c r="AK5" s="439"/>
      <c r="AL5" s="439"/>
      <c r="AM5" s="439"/>
      <c r="AN5" s="439"/>
      <c r="AO5" s="439"/>
      <c r="AP5" s="439"/>
      <c r="AQ5" s="439"/>
      <c r="AR5" s="439"/>
      <c r="AS5" s="439"/>
    </row>
    <row r="6" spans="1:45" s="1650" customFormat="1" ht="11.25" customHeight="1">
      <c r="A6" s="407"/>
      <c r="C6" s="414"/>
      <c r="D6" s="413"/>
      <c r="E6" s="413"/>
      <c r="F6" s="413"/>
      <c r="G6" s="413"/>
      <c r="H6" s="413"/>
      <c r="I6" s="413"/>
      <c r="J6" s="413"/>
      <c r="K6" s="413"/>
      <c r="L6" s="413"/>
      <c r="M6" s="413"/>
      <c r="N6" s="413"/>
      <c r="O6" s="413"/>
      <c r="P6" s="413"/>
      <c r="Q6" s="413"/>
      <c r="R6" s="664"/>
      <c r="S6" s="664"/>
      <c r="T6" s="413"/>
      <c r="U6" s="413"/>
      <c r="V6" s="625"/>
      <c r="W6" s="625"/>
      <c r="X6" s="413"/>
      <c r="Y6" s="413"/>
      <c r="Z6" s="625"/>
      <c r="AA6" s="625"/>
      <c r="AB6" s="413"/>
      <c r="AC6" s="625"/>
      <c r="AD6" s="625"/>
      <c r="AE6" s="413"/>
      <c r="AF6" s="413"/>
      <c r="AG6" s="413"/>
      <c r="AH6" s="413"/>
      <c r="AJ6" s="417"/>
      <c r="AK6" s="417"/>
      <c r="AL6" s="417"/>
      <c r="AM6" s="417"/>
      <c r="AN6" s="417"/>
      <c r="AO6" s="417"/>
      <c r="AP6" s="417"/>
      <c r="AQ6" s="417"/>
      <c r="AR6" s="417"/>
      <c r="AS6" s="417"/>
    </row>
    <row r="7" spans="1:45" ht="14.25" customHeight="1">
      <c r="C7" s="383"/>
      <c r="D7" s="2103" t="s">
        <v>292</v>
      </c>
      <c r="E7" s="2116"/>
      <c r="F7" s="2116"/>
      <c r="G7" s="2116"/>
      <c r="H7" s="2116"/>
      <c r="I7" s="2116"/>
      <c r="J7" s="2116"/>
      <c r="K7" s="2116"/>
      <c r="L7" s="2116"/>
      <c r="M7" s="2116"/>
      <c r="N7" s="2116"/>
      <c r="O7" s="2116"/>
      <c r="P7" s="2116"/>
      <c r="Q7" s="2116"/>
      <c r="R7" s="2116"/>
      <c r="S7" s="2116"/>
      <c r="T7" s="2116"/>
      <c r="U7" s="2116"/>
      <c r="V7" s="2116"/>
      <c r="W7" s="2116"/>
      <c r="X7" s="2116"/>
      <c r="Y7" s="2116"/>
      <c r="Z7" s="2116"/>
      <c r="AA7" s="2116"/>
      <c r="AB7" s="2116"/>
      <c r="AC7" s="2116"/>
      <c r="AD7" s="2117"/>
      <c r="AE7" s="2064" t="s">
        <v>293</v>
      </c>
      <c r="AF7" s="2064" t="s">
        <v>293</v>
      </c>
      <c r="AG7" s="2064" t="s">
        <v>293</v>
      </c>
      <c r="AH7" s="2064" t="s">
        <v>293</v>
      </c>
    </row>
    <row r="8" spans="1:45" ht="25.5" customHeight="1">
      <c r="C8" s="383"/>
      <c r="D8" s="2007" t="s">
        <v>87</v>
      </c>
      <c r="E8" s="2064" t="str">
        <f>"Наименование "&amp;IF(TEMPLATE_SPHERE&lt;&gt;"HEAT","централизованной ","")&amp;"системы "&amp;TEMPLATE_SPHERE_RUS</f>
        <v>Наименование централизованной системы горячего водоснабжения</v>
      </c>
      <c r="F8" s="2064" t="str">
        <f>IF(TEMPLATE_SPHERE&lt;&gt;"HEAT","Регулируемый вид деятельности","Вид регулируемой деятельности")</f>
        <v>Регулируемый вид деятельности</v>
      </c>
      <c r="G8" s="733"/>
      <c r="H8" s="2104" t="s">
        <v>351</v>
      </c>
      <c r="I8" s="2108" t="s">
        <v>352</v>
      </c>
      <c r="J8" s="2064" t="s">
        <v>353</v>
      </c>
      <c r="K8" s="2064"/>
      <c r="L8" s="2064"/>
      <c r="M8" s="2103"/>
      <c r="N8" s="2064" t="s">
        <v>354</v>
      </c>
      <c r="O8" s="2064"/>
      <c r="P8" s="2064" t="s">
        <v>355</v>
      </c>
      <c r="Q8" s="2064"/>
      <c r="R8" s="2106" t="s">
        <v>356</v>
      </c>
      <c r="S8" s="729"/>
      <c r="T8" s="2104" t="s">
        <v>357</v>
      </c>
      <c r="U8" s="2104" t="s">
        <v>358</v>
      </c>
      <c r="V8" s="2104" t="s">
        <v>359</v>
      </c>
      <c r="W8" s="731"/>
      <c r="X8" s="2104" t="s">
        <v>360</v>
      </c>
      <c r="Y8" s="2104" t="s">
        <v>361</v>
      </c>
      <c r="Z8" s="2104" t="s">
        <v>362</v>
      </c>
      <c r="AA8" s="731"/>
      <c r="AB8" s="2104" t="s">
        <v>363</v>
      </c>
      <c r="AC8" s="2104" t="s">
        <v>356</v>
      </c>
      <c r="AD8" s="731"/>
      <c r="AE8" s="2064"/>
      <c r="AF8" s="2064"/>
      <c r="AG8" s="2064"/>
      <c r="AH8" s="2064"/>
    </row>
    <row r="9" spans="1:45" ht="33.75" customHeight="1">
      <c r="C9" s="383"/>
      <c r="D9" s="2007"/>
      <c r="E9" s="2064"/>
      <c r="F9" s="2064"/>
      <c r="G9" s="734"/>
      <c r="H9" s="2105"/>
      <c r="I9" s="2109"/>
      <c r="J9" s="359" t="s">
        <v>364</v>
      </c>
      <c r="K9" s="359" t="s">
        <v>365</v>
      </c>
      <c r="L9" s="359" t="s">
        <v>366</v>
      </c>
      <c r="M9" s="364" t="s">
        <v>367</v>
      </c>
      <c r="N9" s="359" t="s">
        <v>368</v>
      </c>
      <c r="O9" s="359" t="s">
        <v>367</v>
      </c>
      <c r="P9" s="359" t="s">
        <v>369</v>
      </c>
      <c r="Q9" s="359" t="s">
        <v>367</v>
      </c>
      <c r="R9" s="2107"/>
      <c r="S9" s="730"/>
      <c r="T9" s="2105"/>
      <c r="U9" s="2105"/>
      <c r="V9" s="2105"/>
      <c r="W9" s="732"/>
      <c r="X9" s="2105"/>
      <c r="Y9" s="2105"/>
      <c r="Z9" s="2105"/>
      <c r="AA9" s="732"/>
      <c r="AB9" s="2105"/>
      <c r="AC9" s="2105"/>
      <c r="AD9" s="732"/>
      <c r="AE9" s="2064"/>
      <c r="AF9" s="2064"/>
      <c r="AG9" s="2064"/>
      <c r="AH9" s="2064"/>
    </row>
    <row r="10" spans="1:45" ht="12" hidden="1" customHeight="1">
      <c r="C10" s="415"/>
      <c r="D10" s="382"/>
      <c r="E10" s="382"/>
      <c r="F10" s="382"/>
      <c r="G10" s="382"/>
      <c r="H10" s="382"/>
      <c r="I10" s="382"/>
      <c r="J10" s="382"/>
      <c r="K10" s="382"/>
      <c r="L10" s="382"/>
      <c r="M10" s="382"/>
      <c r="N10" s="382"/>
      <c r="O10" s="382"/>
      <c r="P10" s="382"/>
      <c r="Q10" s="382"/>
      <c r="R10" s="382"/>
      <c r="S10" s="382"/>
      <c r="T10" s="382"/>
      <c r="U10" s="382"/>
      <c r="V10" s="382"/>
      <c r="W10" s="382"/>
      <c r="X10" s="382"/>
      <c r="Y10" s="382"/>
      <c r="Z10" s="382"/>
      <c r="AA10" s="382"/>
      <c r="AB10" s="382"/>
      <c r="AC10" s="382"/>
      <c r="AD10" s="382"/>
      <c r="AE10" s="382"/>
      <c r="AF10" s="382"/>
      <c r="AG10" s="382"/>
      <c r="AH10" s="382"/>
      <c r="AI10" s="381"/>
      <c r="AP10" s="428"/>
      <c r="AQ10" s="428"/>
    </row>
    <row r="11" spans="1:45" s="1708" customFormat="1" ht="11.25" hidden="1" customHeight="1">
      <c r="C11" s="426"/>
      <c r="D11" s="427" t="s">
        <v>370</v>
      </c>
      <c r="E11" s="427"/>
      <c r="F11" s="427"/>
      <c r="G11" s="427"/>
      <c r="H11" s="425"/>
      <c r="I11" s="425"/>
      <c r="J11" s="425"/>
      <c r="K11" s="425"/>
      <c r="L11" s="425"/>
      <c r="M11" s="425"/>
      <c r="N11" s="425"/>
      <c r="O11" s="425"/>
      <c r="P11" s="425"/>
      <c r="Q11" s="425"/>
      <c r="R11" s="425"/>
      <c r="S11" s="425"/>
      <c r="T11" s="425"/>
      <c r="U11" s="425"/>
      <c r="V11" s="425"/>
      <c r="W11" s="425"/>
      <c r="X11" s="425"/>
      <c r="Y11" s="425"/>
      <c r="Z11" s="425"/>
      <c r="AA11" s="425"/>
      <c r="AB11" s="425"/>
      <c r="AC11" s="425"/>
      <c r="AD11" s="425"/>
      <c r="AE11" s="369"/>
      <c r="AF11" s="369"/>
      <c r="AG11" s="369"/>
      <c r="AH11" s="369"/>
      <c r="AJ11" s="417"/>
      <c r="AK11" s="417"/>
      <c r="AL11" s="417"/>
      <c r="AM11" s="417"/>
      <c r="AN11" s="417"/>
      <c r="AO11" s="417"/>
      <c r="AP11" s="417"/>
      <c r="AQ11" s="417"/>
      <c r="AR11" s="417"/>
      <c r="AS11" s="417"/>
    </row>
    <row r="12" spans="1:45" ht="14.25" customHeight="1">
      <c r="A12" s="381"/>
      <c r="C12" s="383"/>
      <c r="D12" s="368" t="s">
        <v>108</v>
      </c>
      <c r="E12" s="778" t="s">
        <v>17</v>
      </c>
      <c r="F12" s="756"/>
      <c r="G12" s="757"/>
      <c r="H12" s="367"/>
      <c r="I12" s="367"/>
      <c r="J12" s="367"/>
      <c r="K12" s="366"/>
      <c r="L12" s="365"/>
      <c r="M12" s="366"/>
      <c r="N12" s="367"/>
      <c r="O12" s="366"/>
      <c r="P12" s="367"/>
      <c r="Q12" s="366"/>
      <c r="R12" s="367"/>
      <c r="S12" s="755"/>
      <c r="T12" s="367"/>
      <c r="U12" s="367"/>
      <c r="V12" s="367"/>
      <c r="W12" s="732"/>
      <c r="X12" s="367"/>
      <c r="Y12" s="367"/>
      <c r="Z12" s="367"/>
      <c r="AA12" s="732"/>
      <c r="AB12" s="367"/>
      <c r="AC12" s="367"/>
      <c r="AD12" s="732"/>
      <c r="AE12" s="2110" t="s">
        <v>371</v>
      </c>
      <c r="AF12" s="2110" t="s">
        <v>372</v>
      </c>
      <c r="AG12" s="2110" t="s">
        <v>373</v>
      </c>
      <c r="AH12" s="2110" t="s">
        <v>374</v>
      </c>
      <c r="AI12" s="381"/>
      <c r="AM12" s="439"/>
      <c r="AP12" s="428" t="s">
        <v>375</v>
      </c>
      <c r="AQ12" s="428" t="s">
        <v>375</v>
      </c>
    </row>
    <row r="13" spans="1:45" ht="17.25" customHeight="1">
      <c r="A13" s="381"/>
      <c r="C13" s="383"/>
      <c r="D13" s="340"/>
      <c r="E13" s="767" t="str">
        <f>IF(TITLE_DIFFERENTIATION_TYPE="нет","","Добавить систему")</f>
        <v/>
      </c>
      <c r="F13" s="767" t="str">
        <f>IF(TITLE_DIFFERENTIATION_TYPE="нет","Добавить вид деятельности","")</f>
        <v>Добавить вид деятельности</v>
      </c>
      <c r="G13" s="233"/>
      <c r="H13" s="341"/>
      <c r="I13" s="341"/>
      <c r="J13" s="341"/>
      <c r="K13" s="341"/>
      <c r="L13" s="341"/>
      <c r="M13" s="341"/>
      <c r="N13" s="341"/>
      <c r="O13" s="341"/>
      <c r="P13" s="341"/>
      <c r="Q13" s="341"/>
      <c r="R13" s="341"/>
      <c r="S13" s="341"/>
      <c r="T13" s="341"/>
      <c r="U13" s="341"/>
      <c r="V13" s="341"/>
      <c r="W13" s="341"/>
      <c r="X13" s="341"/>
      <c r="Y13" s="341"/>
      <c r="Z13" s="341"/>
      <c r="AA13" s="341"/>
      <c r="AB13" s="341"/>
      <c r="AC13" s="341"/>
      <c r="AD13" s="758"/>
      <c r="AE13" s="2111"/>
      <c r="AF13" s="2111"/>
      <c r="AG13" s="2111"/>
      <c r="AH13" s="2111"/>
      <c r="AI13" s="381"/>
    </row>
    <row r="14" spans="1:45" ht="14.25" customHeight="1">
      <c r="AI14" s="381"/>
    </row>
    <row r="15" spans="1:45" ht="14.25" customHeight="1">
      <c r="E15" s="668"/>
      <c r="L15" s="668"/>
    </row>
    <row r="16" spans="1:45" ht="14.25" customHeight="1">
      <c r="L16" s="668"/>
    </row>
    <row r="17" spans="12:12" ht="14.25" customHeight="1">
      <c r="L17" s="668"/>
    </row>
  </sheetData>
  <sheetProtection formatColumns="0" formatRows="0" insertRows="0" deleteColumns="0" deleteRows="0" sort="0" autoFilter="0"/>
  <mergeCells count="32">
    <mergeCell ref="D5:R5"/>
    <mergeCell ref="H1:R1"/>
    <mergeCell ref="D7:AD7"/>
    <mergeCell ref="X1:Z1"/>
    <mergeCell ref="T1:V1"/>
    <mergeCell ref="AB1:AC1"/>
    <mergeCell ref="D4:R4"/>
    <mergeCell ref="AE12:AE13"/>
    <mergeCell ref="AG7:AG9"/>
    <mergeCell ref="AG12:AG13"/>
    <mergeCell ref="AH7:AH9"/>
    <mergeCell ref="AH12:AH13"/>
    <mergeCell ref="AF12:AF13"/>
    <mergeCell ref="AF7:AF9"/>
    <mergeCell ref="AE7:AE9"/>
    <mergeCell ref="D8:D9"/>
    <mergeCell ref="E8:E9"/>
    <mergeCell ref="F8:F9"/>
    <mergeCell ref="H8:H9"/>
    <mergeCell ref="I8:I9"/>
    <mergeCell ref="J8:M8"/>
    <mergeCell ref="N8:O8"/>
    <mergeCell ref="AB8:AB9"/>
    <mergeCell ref="AC8:AC9"/>
    <mergeCell ref="T8:T9"/>
    <mergeCell ref="U8:U9"/>
    <mergeCell ref="V8:V9"/>
    <mergeCell ref="P8:Q8"/>
    <mergeCell ref="R8:R9"/>
    <mergeCell ref="X8:X9"/>
    <mergeCell ref="Y8:Y9"/>
    <mergeCell ref="Z8:Z9"/>
  </mergeCells>
  <dataValidations count="6">
    <dataValidation type="list" allowBlank="1" showInputMessage="1" showErrorMessage="1" errorTitle="Ошибка" error="Выберите значение из списка" prompt="Выберите значение из списка" sqref="L12">
      <formula1>kind_of_power_te_unit</formula1>
    </dataValidation>
    <dataValidation type="whole" allowBlank="1" showErrorMessage="1" errorTitle="Ошибка" error="Допускается ввод только неотрицательных целых чисел!" sqref="N12 P12 H12:J12 AB12:AC12 R12:V12 X12:Z12">
      <formula1>0</formula1>
      <formula2>9.99999999999999E+23</formula2>
    </dataValidation>
    <dataValidation allowBlank="1" showInputMessage="1" showErrorMessage="1" prompt="Выберите один или несколько одновременно видов деятельности, выполнив последовательно по одному щелчку на строке с видом деятельности" sqref="F12"/>
    <dataValidation type="textLength" operator="lessThanOrEqual" allowBlank="1" showInputMessage="1" showErrorMessage="1" errorTitle="Ошибка" error="Допускается ввод не более 900 символов!" sqref="E12">
      <formula1>900</formula1>
    </dataValidation>
    <dataValidation type="decimal" allowBlank="1" showErrorMessage="1" errorTitle="Ошибка" error="Допускается ввод только неотрицательных чисел!" sqref="H11:AD11 O12 Q12 K12 M12">
      <formula1>0</formula1>
      <formula2>9.99999999999999E+23</formula2>
    </dataValidation>
    <dataValidation allowBlank="1" showErrorMessage="1" errorTitle="Ошибка" error="Допускается ввод только неотрицательных чисел!" sqref="E11:G11"/>
  </dataValidations>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8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C99"/>
  </sheetPr>
  <dimension ref="A1:G141"/>
  <sheetViews>
    <sheetView showGridLines="0" workbookViewId="0"/>
  </sheetViews>
  <sheetFormatPr defaultRowHeight="11.25" customHeight="1"/>
  <sheetData>
    <row r="1" spans="1:7" ht="11.25" customHeight="1">
      <c r="A1" s="300" t="s">
        <v>2668</v>
      </c>
      <c r="B1" s="300" t="s">
        <v>2669</v>
      </c>
      <c r="C1" s="300" t="s">
        <v>2670</v>
      </c>
      <c r="D1" s="300" t="s">
        <v>2671</v>
      </c>
      <c r="E1" t="s">
        <v>2672</v>
      </c>
      <c r="F1" t="s">
        <v>2673</v>
      </c>
      <c r="G1" t="s">
        <v>2674</v>
      </c>
    </row>
    <row r="2" spans="1:7" ht="11.25" customHeight="1">
      <c r="A2" t="s">
        <v>14</v>
      </c>
      <c r="B2" t="s">
        <v>2675</v>
      </c>
      <c r="C2" t="s">
        <v>2676</v>
      </c>
      <c r="D2" t="s">
        <v>2675</v>
      </c>
      <c r="E2" t="s">
        <v>2676</v>
      </c>
      <c r="F2" t="s">
        <v>2677</v>
      </c>
      <c r="G2" t="s">
        <v>108</v>
      </c>
    </row>
    <row r="3" spans="1:7" ht="11.25" customHeight="1">
      <c r="A3" t="s">
        <v>14</v>
      </c>
      <c r="B3" t="s">
        <v>2675</v>
      </c>
      <c r="C3" t="s">
        <v>2676</v>
      </c>
      <c r="D3" t="s">
        <v>2678</v>
      </c>
      <c r="E3" t="s">
        <v>2679</v>
      </c>
      <c r="F3" t="s">
        <v>2680</v>
      </c>
      <c r="G3" t="s">
        <v>109</v>
      </c>
    </row>
    <row r="4" spans="1:7" ht="11.25" customHeight="1">
      <c r="A4" t="s">
        <v>14</v>
      </c>
      <c r="B4" t="s">
        <v>2675</v>
      </c>
      <c r="C4" t="s">
        <v>2676</v>
      </c>
      <c r="D4" t="s">
        <v>2681</v>
      </c>
      <c r="E4" t="s">
        <v>2682</v>
      </c>
      <c r="F4" t="s">
        <v>2683</v>
      </c>
      <c r="G4" t="s">
        <v>89</v>
      </c>
    </row>
    <row r="5" spans="1:7" ht="11.25" customHeight="1">
      <c r="A5" t="s">
        <v>14</v>
      </c>
      <c r="B5" t="s">
        <v>2675</v>
      </c>
      <c r="C5" t="s">
        <v>2676</v>
      </c>
      <c r="D5" t="s">
        <v>2684</v>
      </c>
      <c r="E5" t="s">
        <v>2685</v>
      </c>
      <c r="F5" t="s">
        <v>2680</v>
      </c>
      <c r="G5" t="s">
        <v>90</v>
      </c>
    </row>
    <row r="6" spans="1:7" ht="11.25" customHeight="1">
      <c r="A6" t="s">
        <v>14</v>
      </c>
      <c r="B6" t="s">
        <v>2675</v>
      </c>
      <c r="C6" t="s">
        <v>2676</v>
      </c>
      <c r="D6" t="s">
        <v>2686</v>
      </c>
      <c r="E6" t="s">
        <v>2687</v>
      </c>
      <c r="F6" t="s">
        <v>2680</v>
      </c>
      <c r="G6" t="s">
        <v>110</v>
      </c>
    </row>
    <row r="7" spans="1:7" ht="11.25" customHeight="1">
      <c r="A7" t="s">
        <v>14</v>
      </c>
      <c r="B7" t="s">
        <v>2675</v>
      </c>
      <c r="C7" t="s">
        <v>2676</v>
      </c>
      <c r="D7" t="s">
        <v>2688</v>
      </c>
      <c r="E7" t="s">
        <v>2689</v>
      </c>
      <c r="F7" t="s">
        <v>2680</v>
      </c>
      <c r="G7" t="s">
        <v>91</v>
      </c>
    </row>
    <row r="8" spans="1:7" ht="11.25" customHeight="1">
      <c r="A8" t="s">
        <v>14</v>
      </c>
      <c r="B8" t="s">
        <v>2675</v>
      </c>
      <c r="C8" t="s">
        <v>2676</v>
      </c>
      <c r="D8" t="s">
        <v>2690</v>
      </c>
      <c r="E8" t="s">
        <v>2691</v>
      </c>
      <c r="F8" t="s">
        <v>2680</v>
      </c>
      <c r="G8" t="s">
        <v>92</v>
      </c>
    </row>
    <row r="9" spans="1:7" ht="11.25" customHeight="1">
      <c r="A9" t="s">
        <v>14</v>
      </c>
      <c r="B9" t="s">
        <v>2675</v>
      </c>
      <c r="C9" t="s">
        <v>2676</v>
      </c>
      <c r="D9" t="s">
        <v>2692</v>
      </c>
      <c r="E9" t="s">
        <v>2693</v>
      </c>
      <c r="F9" t="s">
        <v>2694</v>
      </c>
      <c r="G9" t="s">
        <v>111</v>
      </c>
    </row>
    <row r="10" spans="1:7" ht="11.25" customHeight="1">
      <c r="A10" t="s">
        <v>14</v>
      </c>
      <c r="B10" t="s">
        <v>2675</v>
      </c>
      <c r="C10" t="s">
        <v>2676</v>
      </c>
      <c r="D10" t="s">
        <v>2695</v>
      </c>
      <c r="E10" t="s">
        <v>2696</v>
      </c>
      <c r="F10" t="s">
        <v>2694</v>
      </c>
      <c r="G10" t="s">
        <v>149</v>
      </c>
    </row>
    <row r="11" spans="1:7" ht="11.25" customHeight="1">
      <c r="A11" t="s">
        <v>14</v>
      </c>
      <c r="B11" t="s">
        <v>2675</v>
      </c>
      <c r="C11" t="s">
        <v>2676</v>
      </c>
      <c r="D11" t="s">
        <v>2697</v>
      </c>
      <c r="E11" t="s">
        <v>2698</v>
      </c>
      <c r="F11" t="s">
        <v>2680</v>
      </c>
      <c r="G11" t="s">
        <v>150</v>
      </c>
    </row>
    <row r="12" spans="1:7" ht="11.25" customHeight="1">
      <c r="A12" t="s">
        <v>14</v>
      </c>
      <c r="B12" t="s">
        <v>2675</v>
      </c>
      <c r="C12" t="s">
        <v>2676</v>
      </c>
      <c r="D12" t="s">
        <v>2699</v>
      </c>
      <c r="E12" t="s">
        <v>2700</v>
      </c>
      <c r="F12" t="s">
        <v>2680</v>
      </c>
      <c r="G12" t="s">
        <v>151</v>
      </c>
    </row>
    <row r="13" spans="1:7" ht="11.25" customHeight="1">
      <c r="A13" t="s">
        <v>14</v>
      </c>
      <c r="B13" t="s">
        <v>2675</v>
      </c>
      <c r="C13" t="s">
        <v>2676</v>
      </c>
      <c r="D13" t="s">
        <v>2701</v>
      </c>
      <c r="E13" t="s">
        <v>2702</v>
      </c>
      <c r="F13" t="s">
        <v>2680</v>
      </c>
      <c r="G13" t="s">
        <v>152</v>
      </c>
    </row>
    <row r="14" spans="1:7" ht="11.25" customHeight="1">
      <c r="A14" t="s">
        <v>14</v>
      </c>
      <c r="B14" t="s">
        <v>2675</v>
      </c>
      <c r="C14" t="s">
        <v>2676</v>
      </c>
      <c r="D14" t="s">
        <v>2703</v>
      </c>
      <c r="E14" t="s">
        <v>2704</v>
      </c>
      <c r="F14" t="s">
        <v>2680</v>
      </c>
      <c r="G14" t="s">
        <v>153</v>
      </c>
    </row>
    <row r="15" spans="1:7" ht="11.25" customHeight="1">
      <c r="A15" t="s">
        <v>14</v>
      </c>
      <c r="B15" t="s">
        <v>2675</v>
      </c>
      <c r="C15" t="s">
        <v>2676</v>
      </c>
      <c r="D15" t="s">
        <v>2705</v>
      </c>
      <c r="E15" t="s">
        <v>2706</v>
      </c>
      <c r="F15" t="s">
        <v>2680</v>
      </c>
      <c r="G15" t="s">
        <v>154</v>
      </c>
    </row>
    <row r="16" spans="1:7" ht="11.25" customHeight="1">
      <c r="A16" t="s">
        <v>14</v>
      </c>
      <c r="B16" t="s">
        <v>2675</v>
      </c>
      <c r="C16" t="s">
        <v>2676</v>
      </c>
      <c r="D16" t="s">
        <v>2707</v>
      </c>
      <c r="E16" t="s">
        <v>2708</v>
      </c>
      <c r="F16" t="s">
        <v>2680</v>
      </c>
      <c r="G16" t="s">
        <v>696</v>
      </c>
    </row>
    <row r="17" spans="1:7" ht="11.25" customHeight="1">
      <c r="A17" t="s">
        <v>14</v>
      </c>
      <c r="B17" t="s">
        <v>2675</v>
      </c>
      <c r="C17" t="s">
        <v>2676</v>
      </c>
      <c r="D17" t="s">
        <v>2709</v>
      </c>
      <c r="E17" t="s">
        <v>2710</v>
      </c>
      <c r="F17" t="s">
        <v>2680</v>
      </c>
      <c r="G17" t="s">
        <v>398</v>
      </c>
    </row>
    <row r="18" spans="1:7" ht="11.25" customHeight="1">
      <c r="A18" t="s">
        <v>14</v>
      </c>
      <c r="B18" t="s">
        <v>2711</v>
      </c>
      <c r="C18" t="s">
        <v>2712</v>
      </c>
      <c r="D18" t="s">
        <v>2713</v>
      </c>
      <c r="E18" t="s">
        <v>2714</v>
      </c>
      <c r="F18" t="s">
        <v>2680</v>
      </c>
      <c r="G18" t="s">
        <v>705</v>
      </c>
    </row>
    <row r="19" spans="1:7" ht="11.25" customHeight="1">
      <c r="A19" t="s">
        <v>14</v>
      </c>
      <c r="B19" t="s">
        <v>2711</v>
      </c>
      <c r="C19" t="s">
        <v>2712</v>
      </c>
      <c r="D19" t="s">
        <v>2715</v>
      </c>
      <c r="E19" t="s">
        <v>2716</v>
      </c>
      <c r="F19" t="s">
        <v>2680</v>
      </c>
      <c r="G19" t="s">
        <v>709</v>
      </c>
    </row>
    <row r="20" spans="1:7" ht="11.25" customHeight="1">
      <c r="A20" t="s">
        <v>14</v>
      </c>
      <c r="B20" t="s">
        <v>2711</v>
      </c>
      <c r="C20" t="s">
        <v>2712</v>
      </c>
      <c r="D20" t="s">
        <v>2717</v>
      </c>
      <c r="E20" t="s">
        <v>2718</v>
      </c>
      <c r="F20" t="s">
        <v>2680</v>
      </c>
      <c r="G20" t="s">
        <v>460</v>
      </c>
    </row>
    <row r="21" spans="1:7" ht="11.25" customHeight="1">
      <c r="A21" t="s">
        <v>14</v>
      </c>
      <c r="B21" t="s">
        <v>2711</v>
      </c>
      <c r="C21" t="s">
        <v>2712</v>
      </c>
      <c r="D21" t="s">
        <v>2711</v>
      </c>
      <c r="E21" t="s">
        <v>2712</v>
      </c>
      <c r="F21" t="s">
        <v>2677</v>
      </c>
      <c r="G21" t="s">
        <v>1074</v>
      </c>
    </row>
    <row r="22" spans="1:7" ht="11.25" customHeight="1">
      <c r="A22" t="s">
        <v>14</v>
      </c>
      <c r="B22" t="s">
        <v>2711</v>
      </c>
      <c r="C22" t="s">
        <v>2712</v>
      </c>
      <c r="D22" t="s">
        <v>2719</v>
      </c>
      <c r="E22" t="s">
        <v>2720</v>
      </c>
      <c r="F22" t="s">
        <v>2680</v>
      </c>
      <c r="G22" t="s">
        <v>1089</v>
      </c>
    </row>
    <row r="23" spans="1:7" ht="11.25" customHeight="1">
      <c r="A23" t="s">
        <v>14</v>
      </c>
      <c r="B23" t="s">
        <v>2711</v>
      </c>
      <c r="C23" t="s">
        <v>2712</v>
      </c>
      <c r="D23" t="s">
        <v>2721</v>
      </c>
      <c r="E23" t="s">
        <v>2722</v>
      </c>
      <c r="F23" t="s">
        <v>2680</v>
      </c>
      <c r="G23" t="s">
        <v>1095</v>
      </c>
    </row>
    <row r="24" spans="1:7" ht="11.25" customHeight="1">
      <c r="A24" t="s">
        <v>14</v>
      </c>
      <c r="B24" t="s">
        <v>2711</v>
      </c>
      <c r="C24" t="s">
        <v>2712</v>
      </c>
      <c r="D24" t="s">
        <v>2723</v>
      </c>
      <c r="E24" t="s">
        <v>2724</v>
      </c>
      <c r="F24" t="s">
        <v>2680</v>
      </c>
      <c r="G24" t="s">
        <v>1101</v>
      </c>
    </row>
    <row r="25" spans="1:7" ht="11.25" customHeight="1">
      <c r="A25" t="s">
        <v>14</v>
      </c>
      <c r="B25" t="s">
        <v>2711</v>
      </c>
      <c r="C25" t="s">
        <v>2712</v>
      </c>
      <c r="D25" t="s">
        <v>2725</v>
      </c>
      <c r="E25" t="s">
        <v>2726</v>
      </c>
      <c r="F25" t="s">
        <v>2680</v>
      </c>
      <c r="G25" t="s">
        <v>473</v>
      </c>
    </row>
    <row r="26" spans="1:7" ht="11.25" customHeight="1">
      <c r="A26" t="s">
        <v>14</v>
      </c>
      <c r="B26" t="s">
        <v>2711</v>
      </c>
      <c r="C26" t="s">
        <v>2712</v>
      </c>
      <c r="D26" t="s">
        <v>2727</v>
      </c>
      <c r="E26" t="s">
        <v>2728</v>
      </c>
      <c r="F26" t="s">
        <v>2680</v>
      </c>
      <c r="G26" t="s">
        <v>472</v>
      </c>
    </row>
    <row r="27" spans="1:7" ht="11.25" customHeight="1">
      <c r="A27" t="s">
        <v>14</v>
      </c>
      <c r="B27" t="s">
        <v>2711</v>
      </c>
      <c r="C27" t="s">
        <v>2712</v>
      </c>
      <c r="D27" t="s">
        <v>2729</v>
      </c>
      <c r="E27" t="s">
        <v>2730</v>
      </c>
      <c r="F27" t="s">
        <v>2680</v>
      </c>
      <c r="G27" t="s">
        <v>720</v>
      </c>
    </row>
    <row r="28" spans="1:7" ht="11.25" customHeight="1">
      <c r="A28" t="s">
        <v>14</v>
      </c>
      <c r="B28" t="s">
        <v>2711</v>
      </c>
      <c r="C28" t="s">
        <v>2712</v>
      </c>
      <c r="D28" t="s">
        <v>2731</v>
      </c>
      <c r="E28" t="s">
        <v>2732</v>
      </c>
      <c r="F28" t="s">
        <v>2680</v>
      </c>
      <c r="G28" t="s">
        <v>455</v>
      </c>
    </row>
    <row r="29" spans="1:7" ht="11.25" customHeight="1">
      <c r="A29" t="s">
        <v>14</v>
      </c>
      <c r="B29" t="s">
        <v>2711</v>
      </c>
      <c r="C29" t="s">
        <v>2712</v>
      </c>
      <c r="D29" t="s">
        <v>2733</v>
      </c>
      <c r="E29" t="s">
        <v>2734</v>
      </c>
      <c r="F29" t="s">
        <v>2680</v>
      </c>
      <c r="G29" t="s">
        <v>1123</v>
      </c>
    </row>
    <row r="30" spans="1:7" ht="11.25" customHeight="1">
      <c r="A30" t="s">
        <v>14</v>
      </c>
      <c r="B30" t="s">
        <v>2711</v>
      </c>
      <c r="C30" t="s">
        <v>2712</v>
      </c>
      <c r="D30" t="s">
        <v>2735</v>
      </c>
      <c r="E30" t="s">
        <v>2736</v>
      </c>
      <c r="F30" t="s">
        <v>2680</v>
      </c>
      <c r="G30" t="s">
        <v>1126</v>
      </c>
    </row>
    <row r="31" spans="1:7" ht="11.25" customHeight="1">
      <c r="A31" t="s">
        <v>14</v>
      </c>
      <c r="B31" t="s">
        <v>2711</v>
      </c>
      <c r="C31" t="s">
        <v>2712</v>
      </c>
      <c r="D31" t="s">
        <v>2737</v>
      </c>
      <c r="E31" t="s">
        <v>2738</v>
      </c>
      <c r="F31" t="s">
        <v>2680</v>
      </c>
      <c r="G31" t="s">
        <v>1132</v>
      </c>
    </row>
    <row r="32" spans="1:7" ht="11.25" customHeight="1">
      <c r="A32" t="s">
        <v>14</v>
      </c>
      <c r="B32" t="s">
        <v>2711</v>
      </c>
      <c r="C32" t="s">
        <v>2712</v>
      </c>
      <c r="D32" t="s">
        <v>2739</v>
      </c>
      <c r="E32" t="s">
        <v>2740</v>
      </c>
      <c r="F32" t="s">
        <v>2680</v>
      </c>
      <c r="G32" t="s">
        <v>1134</v>
      </c>
    </row>
    <row r="33" spans="1:7" ht="11.25" customHeight="1">
      <c r="A33" t="s">
        <v>14</v>
      </c>
      <c r="B33" t="s">
        <v>2711</v>
      </c>
      <c r="C33" t="s">
        <v>2712</v>
      </c>
      <c r="D33" t="s">
        <v>2741</v>
      </c>
      <c r="E33" t="s">
        <v>2742</v>
      </c>
      <c r="F33" t="s">
        <v>2680</v>
      </c>
      <c r="G33" t="s">
        <v>1136</v>
      </c>
    </row>
    <row r="34" spans="1:7" ht="11.25" customHeight="1">
      <c r="A34" t="s">
        <v>14</v>
      </c>
      <c r="B34" t="s">
        <v>2711</v>
      </c>
      <c r="C34" t="s">
        <v>2712</v>
      </c>
      <c r="D34" t="s">
        <v>2743</v>
      </c>
      <c r="E34" t="s">
        <v>2744</v>
      </c>
      <c r="F34" t="s">
        <v>2680</v>
      </c>
      <c r="G34" t="s">
        <v>1138</v>
      </c>
    </row>
    <row r="35" spans="1:7" ht="11.25" customHeight="1">
      <c r="A35" t="s">
        <v>14</v>
      </c>
      <c r="B35" t="s">
        <v>2711</v>
      </c>
      <c r="C35" t="s">
        <v>2712</v>
      </c>
      <c r="D35" t="s">
        <v>2745</v>
      </c>
      <c r="E35" t="s">
        <v>2746</v>
      </c>
      <c r="F35" t="s">
        <v>2680</v>
      </c>
      <c r="G35" t="s">
        <v>1143</v>
      </c>
    </row>
    <row r="36" spans="1:7" ht="11.25" customHeight="1">
      <c r="A36" t="s">
        <v>14</v>
      </c>
      <c r="B36" t="s">
        <v>2711</v>
      </c>
      <c r="C36" t="s">
        <v>2712</v>
      </c>
      <c r="D36" t="s">
        <v>2747</v>
      </c>
      <c r="E36" t="s">
        <v>2748</v>
      </c>
      <c r="F36" t="s">
        <v>2680</v>
      </c>
      <c r="G36" t="s">
        <v>1148</v>
      </c>
    </row>
    <row r="37" spans="1:7" ht="11.25" customHeight="1">
      <c r="A37" t="s">
        <v>14</v>
      </c>
      <c r="B37" t="s">
        <v>2711</v>
      </c>
      <c r="C37" t="s">
        <v>2712</v>
      </c>
      <c r="D37" t="s">
        <v>2749</v>
      </c>
      <c r="E37" t="s">
        <v>2750</v>
      </c>
      <c r="F37" t="s">
        <v>2680</v>
      </c>
      <c r="G37" t="s">
        <v>1152</v>
      </c>
    </row>
    <row r="38" spans="1:7" ht="11.25" customHeight="1">
      <c r="A38" t="s">
        <v>14</v>
      </c>
      <c r="B38" t="s">
        <v>2711</v>
      </c>
      <c r="C38" t="s">
        <v>2712</v>
      </c>
      <c r="D38" t="s">
        <v>2751</v>
      </c>
      <c r="E38" t="s">
        <v>2752</v>
      </c>
      <c r="F38" t="s">
        <v>2680</v>
      </c>
      <c r="G38" t="s">
        <v>1160</v>
      </c>
    </row>
    <row r="39" spans="1:7" ht="11.25" customHeight="1">
      <c r="A39" t="s">
        <v>14</v>
      </c>
      <c r="B39" t="s">
        <v>2711</v>
      </c>
      <c r="C39" t="s">
        <v>2712</v>
      </c>
      <c r="D39" t="s">
        <v>2753</v>
      </c>
      <c r="E39" t="s">
        <v>2754</v>
      </c>
      <c r="F39" t="s">
        <v>2680</v>
      </c>
      <c r="G39" t="s">
        <v>1166</v>
      </c>
    </row>
    <row r="40" spans="1:7" ht="11.25" customHeight="1">
      <c r="A40" t="s">
        <v>14</v>
      </c>
      <c r="B40" t="s">
        <v>99</v>
      </c>
      <c r="C40" t="s">
        <v>100</v>
      </c>
      <c r="D40" t="s">
        <v>99</v>
      </c>
      <c r="E40" t="s">
        <v>100</v>
      </c>
      <c r="F40" t="s">
        <v>2755</v>
      </c>
      <c r="G40" t="s">
        <v>98</v>
      </c>
    </row>
    <row r="41" spans="1:7" ht="11.25" customHeight="1">
      <c r="A41" t="s">
        <v>14</v>
      </c>
      <c r="B41" t="s">
        <v>2756</v>
      </c>
      <c r="C41" t="s">
        <v>2757</v>
      </c>
      <c r="D41" t="s">
        <v>2758</v>
      </c>
      <c r="E41" t="s">
        <v>2759</v>
      </c>
      <c r="F41" t="s">
        <v>2680</v>
      </c>
      <c r="G41" t="s">
        <v>1177</v>
      </c>
    </row>
    <row r="42" spans="1:7" ht="11.25" customHeight="1">
      <c r="A42" t="s">
        <v>14</v>
      </c>
      <c r="B42" t="s">
        <v>2756</v>
      </c>
      <c r="C42" t="s">
        <v>2757</v>
      </c>
      <c r="D42" t="s">
        <v>2760</v>
      </c>
      <c r="E42" t="s">
        <v>2761</v>
      </c>
      <c r="F42" t="s">
        <v>2680</v>
      </c>
      <c r="G42" t="s">
        <v>1182</v>
      </c>
    </row>
    <row r="43" spans="1:7" ht="11.25" customHeight="1">
      <c r="A43" t="s">
        <v>14</v>
      </c>
      <c r="B43" t="s">
        <v>2756</v>
      </c>
      <c r="C43" t="s">
        <v>2757</v>
      </c>
      <c r="D43" t="s">
        <v>2762</v>
      </c>
      <c r="E43" t="s">
        <v>2763</v>
      </c>
      <c r="F43" t="s">
        <v>2680</v>
      </c>
      <c r="G43" t="s">
        <v>1189</v>
      </c>
    </row>
    <row r="44" spans="1:7" ht="11.25" customHeight="1">
      <c r="A44" t="s">
        <v>14</v>
      </c>
      <c r="B44" t="s">
        <v>2756</v>
      </c>
      <c r="C44" t="s">
        <v>2757</v>
      </c>
      <c r="D44" t="s">
        <v>2764</v>
      </c>
      <c r="E44" t="s">
        <v>2765</v>
      </c>
      <c r="F44" t="s">
        <v>2680</v>
      </c>
      <c r="G44" t="s">
        <v>1198</v>
      </c>
    </row>
    <row r="45" spans="1:7" ht="11.25" customHeight="1">
      <c r="A45" t="s">
        <v>14</v>
      </c>
      <c r="B45" t="s">
        <v>2756</v>
      </c>
      <c r="C45" t="s">
        <v>2757</v>
      </c>
      <c r="D45" t="s">
        <v>2756</v>
      </c>
      <c r="E45" t="s">
        <v>2757</v>
      </c>
      <c r="F45" t="s">
        <v>2677</v>
      </c>
      <c r="G45" t="s">
        <v>1204</v>
      </c>
    </row>
    <row r="46" spans="1:7" ht="11.25" customHeight="1">
      <c r="A46" t="s">
        <v>14</v>
      </c>
      <c r="B46" t="s">
        <v>2756</v>
      </c>
      <c r="C46" t="s">
        <v>2757</v>
      </c>
      <c r="D46" t="s">
        <v>2766</v>
      </c>
      <c r="E46" t="s">
        <v>2767</v>
      </c>
      <c r="F46" t="s">
        <v>2680</v>
      </c>
      <c r="G46" t="s">
        <v>474</v>
      </c>
    </row>
    <row r="47" spans="1:7" ht="11.25" customHeight="1">
      <c r="A47" t="s">
        <v>14</v>
      </c>
      <c r="B47" t="s">
        <v>2756</v>
      </c>
      <c r="C47" t="s">
        <v>2757</v>
      </c>
      <c r="D47" t="s">
        <v>2768</v>
      </c>
      <c r="E47" t="s">
        <v>2769</v>
      </c>
      <c r="F47" t="s">
        <v>2680</v>
      </c>
      <c r="G47" t="s">
        <v>1213</v>
      </c>
    </row>
    <row r="48" spans="1:7" ht="11.25" customHeight="1">
      <c r="A48" t="s">
        <v>14</v>
      </c>
      <c r="B48" t="s">
        <v>2756</v>
      </c>
      <c r="C48" t="s">
        <v>2757</v>
      </c>
      <c r="D48" t="s">
        <v>2770</v>
      </c>
      <c r="E48" t="s">
        <v>2771</v>
      </c>
      <c r="F48" t="s">
        <v>2680</v>
      </c>
      <c r="G48" t="s">
        <v>721</v>
      </c>
    </row>
    <row r="49" spans="1:7" ht="11.25" customHeight="1">
      <c r="A49" t="s">
        <v>14</v>
      </c>
      <c r="B49" t="s">
        <v>2756</v>
      </c>
      <c r="C49" t="s">
        <v>2757</v>
      </c>
      <c r="D49" t="s">
        <v>2772</v>
      </c>
      <c r="E49" t="s">
        <v>2773</v>
      </c>
      <c r="F49" t="s">
        <v>2680</v>
      </c>
      <c r="G49" t="s">
        <v>1222</v>
      </c>
    </row>
    <row r="50" spans="1:7" ht="11.25" customHeight="1">
      <c r="A50" t="s">
        <v>14</v>
      </c>
      <c r="B50" t="s">
        <v>2756</v>
      </c>
      <c r="C50" t="s">
        <v>2757</v>
      </c>
      <c r="D50" t="s">
        <v>2774</v>
      </c>
      <c r="E50" t="s">
        <v>2775</v>
      </c>
      <c r="F50" t="s">
        <v>2680</v>
      </c>
      <c r="G50" t="s">
        <v>1226</v>
      </c>
    </row>
    <row r="51" spans="1:7" ht="11.25" customHeight="1">
      <c r="A51" t="s">
        <v>14</v>
      </c>
      <c r="B51" t="s">
        <v>2756</v>
      </c>
      <c r="C51" t="s">
        <v>2757</v>
      </c>
      <c r="D51" t="s">
        <v>2776</v>
      </c>
      <c r="E51" t="s">
        <v>2777</v>
      </c>
      <c r="F51" t="s">
        <v>2680</v>
      </c>
      <c r="G51" t="s">
        <v>1230</v>
      </c>
    </row>
    <row r="52" spans="1:7" ht="11.25" customHeight="1">
      <c r="A52" t="s">
        <v>14</v>
      </c>
      <c r="B52" t="s">
        <v>2756</v>
      </c>
      <c r="C52" t="s">
        <v>2757</v>
      </c>
      <c r="D52" t="s">
        <v>2778</v>
      </c>
      <c r="E52" t="s">
        <v>2779</v>
      </c>
      <c r="F52" t="s">
        <v>2680</v>
      </c>
      <c r="G52" t="s">
        <v>1234</v>
      </c>
    </row>
    <row r="53" spans="1:7" ht="11.25" customHeight="1">
      <c r="A53" t="s">
        <v>14</v>
      </c>
      <c r="B53" t="s">
        <v>2756</v>
      </c>
      <c r="C53" t="s">
        <v>2757</v>
      </c>
      <c r="D53" t="s">
        <v>2780</v>
      </c>
      <c r="E53" t="s">
        <v>2781</v>
      </c>
      <c r="F53" t="s">
        <v>2680</v>
      </c>
      <c r="G53" t="s">
        <v>1236</v>
      </c>
    </row>
    <row r="54" spans="1:7" ht="11.25" customHeight="1">
      <c r="A54" t="s">
        <v>14</v>
      </c>
      <c r="B54" t="s">
        <v>2756</v>
      </c>
      <c r="C54" t="s">
        <v>2757</v>
      </c>
      <c r="D54" t="s">
        <v>2782</v>
      </c>
      <c r="E54" t="s">
        <v>2783</v>
      </c>
      <c r="F54" t="s">
        <v>2680</v>
      </c>
      <c r="G54" t="s">
        <v>1239</v>
      </c>
    </row>
    <row r="55" spans="1:7" ht="11.25" customHeight="1">
      <c r="A55" t="s">
        <v>14</v>
      </c>
      <c r="B55" t="s">
        <v>2756</v>
      </c>
      <c r="C55" t="s">
        <v>2757</v>
      </c>
      <c r="D55" t="s">
        <v>2784</v>
      </c>
      <c r="E55" t="s">
        <v>2785</v>
      </c>
      <c r="F55" t="s">
        <v>2680</v>
      </c>
      <c r="G55" t="s">
        <v>1243</v>
      </c>
    </row>
    <row r="56" spans="1:7" ht="11.25" customHeight="1">
      <c r="A56" t="s">
        <v>14</v>
      </c>
      <c r="B56" t="s">
        <v>2786</v>
      </c>
      <c r="C56" t="s">
        <v>2787</v>
      </c>
      <c r="D56" t="s">
        <v>2786</v>
      </c>
      <c r="E56" t="s">
        <v>2787</v>
      </c>
      <c r="F56" t="s">
        <v>2755</v>
      </c>
      <c r="G56" t="s">
        <v>1246</v>
      </c>
    </row>
    <row r="57" spans="1:7" ht="11.25" customHeight="1">
      <c r="A57" t="s">
        <v>14</v>
      </c>
      <c r="B57" t="s">
        <v>2788</v>
      </c>
      <c r="C57" t="s">
        <v>2789</v>
      </c>
      <c r="D57" t="s">
        <v>2790</v>
      </c>
      <c r="E57" t="s">
        <v>2791</v>
      </c>
      <c r="F57" t="s">
        <v>2680</v>
      </c>
      <c r="G57" t="s">
        <v>1249</v>
      </c>
    </row>
    <row r="58" spans="1:7" ht="11.25" customHeight="1">
      <c r="A58" t="s">
        <v>14</v>
      </c>
      <c r="B58" t="s">
        <v>2788</v>
      </c>
      <c r="C58" t="s">
        <v>2789</v>
      </c>
      <c r="D58" t="s">
        <v>2792</v>
      </c>
      <c r="E58" t="s">
        <v>2793</v>
      </c>
      <c r="F58" t="s">
        <v>2680</v>
      </c>
      <c r="G58" t="s">
        <v>1252</v>
      </c>
    </row>
    <row r="59" spans="1:7" ht="11.25" customHeight="1">
      <c r="A59" t="s">
        <v>14</v>
      </c>
      <c r="B59" t="s">
        <v>2788</v>
      </c>
      <c r="C59" t="s">
        <v>2789</v>
      </c>
      <c r="D59" t="s">
        <v>2788</v>
      </c>
      <c r="E59" t="s">
        <v>2789</v>
      </c>
      <c r="F59" t="s">
        <v>2677</v>
      </c>
      <c r="G59" t="s">
        <v>1256</v>
      </c>
    </row>
    <row r="60" spans="1:7" ht="11.25" customHeight="1">
      <c r="A60" t="s">
        <v>14</v>
      </c>
      <c r="B60" t="s">
        <v>2788</v>
      </c>
      <c r="C60" t="s">
        <v>2789</v>
      </c>
      <c r="D60" t="s">
        <v>2794</v>
      </c>
      <c r="E60" t="s">
        <v>2795</v>
      </c>
      <c r="F60" t="s">
        <v>2680</v>
      </c>
      <c r="G60" t="s">
        <v>1259</v>
      </c>
    </row>
    <row r="61" spans="1:7" ht="11.25" customHeight="1">
      <c r="A61" t="s">
        <v>14</v>
      </c>
      <c r="B61" t="s">
        <v>2788</v>
      </c>
      <c r="C61" t="s">
        <v>2789</v>
      </c>
      <c r="D61" t="s">
        <v>2796</v>
      </c>
      <c r="E61" t="s">
        <v>2797</v>
      </c>
      <c r="F61" t="s">
        <v>2680</v>
      </c>
      <c r="G61" t="s">
        <v>2798</v>
      </c>
    </row>
    <row r="62" spans="1:7" ht="11.25" customHeight="1">
      <c r="A62" t="s">
        <v>14</v>
      </c>
      <c r="B62" t="s">
        <v>2788</v>
      </c>
      <c r="C62" t="s">
        <v>2789</v>
      </c>
      <c r="D62" t="s">
        <v>2799</v>
      </c>
      <c r="E62" t="s">
        <v>2800</v>
      </c>
      <c r="F62" t="s">
        <v>2680</v>
      </c>
      <c r="G62" t="s">
        <v>2801</v>
      </c>
    </row>
    <row r="63" spans="1:7" ht="11.25" customHeight="1">
      <c r="A63" t="s">
        <v>14</v>
      </c>
      <c r="B63" t="s">
        <v>2788</v>
      </c>
      <c r="C63" t="s">
        <v>2789</v>
      </c>
      <c r="D63" t="s">
        <v>2802</v>
      </c>
      <c r="E63" t="s">
        <v>2803</v>
      </c>
      <c r="F63" t="s">
        <v>2680</v>
      </c>
      <c r="G63" t="s">
        <v>2804</v>
      </c>
    </row>
    <row r="64" spans="1:7" ht="11.25" customHeight="1">
      <c r="A64" t="s">
        <v>14</v>
      </c>
      <c r="B64" t="s">
        <v>2788</v>
      </c>
      <c r="C64" t="s">
        <v>2789</v>
      </c>
      <c r="D64" t="s">
        <v>2805</v>
      </c>
      <c r="E64" t="s">
        <v>2806</v>
      </c>
      <c r="F64" t="s">
        <v>2680</v>
      </c>
      <c r="G64" t="s">
        <v>2807</v>
      </c>
    </row>
    <row r="65" spans="1:7" ht="11.25" customHeight="1">
      <c r="A65" t="s">
        <v>14</v>
      </c>
      <c r="B65" t="s">
        <v>2788</v>
      </c>
      <c r="C65" t="s">
        <v>2789</v>
      </c>
      <c r="D65" t="s">
        <v>2808</v>
      </c>
      <c r="E65" t="s">
        <v>2809</v>
      </c>
      <c r="F65" t="s">
        <v>2694</v>
      </c>
      <c r="G65" t="s">
        <v>2810</v>
      </c>
    </row>
    <row r="66" spans="1:7" ht="11.25" customHeight="1">
      <c r="A66" t="s">
        <v>14</v>
      </c>
      <c r="B66" t="s">
        <v>2788</v>
      </c>
      <c r="C66" t="s">
        <v>2789</v>
      </c>
      <c r="D66" t="s">
        <v>2811</v>
      </c>
      <c r="E66" t="s">
        <v>2812</v>
      </c>
      <c r="F66" t="s">
        <v>2694</v>
      </c>
      <c r="G66" t="s">
        <v>2813</v>
      </c>
    </row>
    <row r="67" spans="1:7" ht="11.25" customHeight="1">
      <c r="A67" t="s">
        <v>14</v>
      </c>
      <c r="B67" t="s">
        <v>2788</v>
      </c>
      <c r="C67" t="s">
        <v>2789</v>
      </c>
      <c r="D67" t="s">
        <v>2814</v>
      </c>
      <c r="E67" t="s">
        <v>2815</v>
      </c>
      <c r="F67" t="s">
        <v>2680</v>
      </c>
      <c r="G67" t="s">
        <v>475</v>
      </c>
    </row>
    <row r="68" spans="1:7" ht="11.25" customHeight="1">
      <c r="A68" t="s">
        <v>14</v>
      </c>
      <c r="B68" t="s">
        <v>2788</v>
      </c>
      <c r="C68" t="s">
        <v>2789</v>
      </c>
      <c r="D68" t="s">
        <v>2816</v>
      </c>
      <c r="E68" t="s">
        <v>2817</v>
      </c>
      <c r="F68" t="s">
        <v>2680</v>
      </c>
      <c r="G68" t="s">
        <v>2818</v>
      </c>
    </row>
    <row r="69" spans="1:7" ht="11.25" customHeight="1">
      <c r="A69" t="s">
        <v>14</v>
      </c>
      <c r="B69" t="s">
        <v>2788</v>
      </c>
      <c r="C69" t="s">
        <v>2789</v>
      </c>
      <c r="D69" t="s">
        <v>2819</v>
      </c>
      <c r="E69" t="s">
        <v>2820</v>
      </c>
      <c r="F69" t="s">
        <v>2680</v>
      </c>
      <c r="G69" t="s">
        <v>722</v>
      </c>
    </row>
    <row r="70" spans="1:7" ht="11.25" customHeight="1">
      <c r="A70" t="s">
        <v>14</v>
      </c>
      <c r="B70" t="s">
        <v>2788</v>
      </c>
      <c r="C70" t="s">
        <v>2789</v>
      </c>
      <c r="D70" t="s">
        <v>2821</v>
      </c>
      <c r="E70" t="s">
        <v>2822</v>
      </c>
      <c r="F70" t="s">
        <v>2680</v>
      </c>
      <c r="G70" t="s">
        <v>2823</v>
      </c>
    </row>
    <row r="71" spans="1:7" ht="11.25" customHeight="1">
      <c r="A71" t="s">
        <v>14</v>
      </c>
      <c r="B71" t="s">
        <v>2824</v>
      </c>
      <c r="C71" t="s">
        <v>2825</v>
      </c>
      <c r="D71" t="s">
        <v>2826</v>
      </c>
      <c r="E71" t="s">
        <v>2827</v>
      </c>
      <c r="F71" t="s">
        <v>2680</v>
      </c>
      <c r="G71" t="s">
        <v>2828</v>
      </c>
    </row>
    <row r="72" spans="1:7" ht="11.25" customHeight="1">
      <c r="A72" t="s">
        <v>14</v>
      </c>
      <c r="B72" t="s">
        <v>2824</v>
      </c>
      <c r="C72" t="s">
        <v>2825</v>
      </c>
      <c r="D72" t="s">
        <v>2829</v>
      </c>
      <c r="E72" t="s">
        <v>2830</v>
      </c>
      <c r="F72" t="s">
        <v>2683</v>
      </c>
      <c r="G72" t="s">
        <v>2831</v>
      </c>
    </row>
    <row r="73" spans="1:7" ht="11.25" customHeight="1">
      <c r="A73" t="s">
        <v>14</v>
      </c>
      <c r="B73" t="s">
        <v>2824</v>
      </c>
      <c r="C73" t="s">
        <v>2825</v>
      </c>
      <c r="D73" t="s">
        <v>2832</v>
      </c>
      <c r="E73" t="s">
        <v>2833</v>
      </c>
      <c r="F73" t="s">
        <v>2680</v>
      </c>
      <c r="G73" t="s">
        <v>2834</v>
      </c>
    </row>
    <row r="74" spans="1:7" ht="11.25" customHeight="1">
      <c r="A74" t="s">
        <v>14</v>
      </c>
      <c r="B74" t="s">
        <v>2824</v>
      </c>
      <c r="C74" t="s">
        <v>2825</v>
      </c>
      <c r="D74" t="s">
        <v>2835</v>
      </c>
      <c r="E74" t="s">
        <v>2836</v>
      </c>
      <c r="F74" t="s">
        <v>2680</v>
      </c>
      <c r="G74" t="s">
        <v>2837</v>
      </c>
    </row>
    <row r="75" spans="1:7" ht="11.25" customHeight="1">
      <c r="A75" t="s">
        <v>14</v>
      </c>
      <c r="B75" t="s">
        <v>2824</v>
      </c>
      <c r="C75" t="s">
        <v>2825</v>
      </c>
      <c r="D75" t="s">
        <v>2824</v>
      </c>
      <c r="E75" t="s">
        <v>2825</v>
      </c>
      <c r="F75" t="s">
        <v>2677</v>
      </c>
      <c r="G75" t="s">
        <v>2838</v>
      </c>
    </row>
    <row r="76" spans="1:7" ht="11.25" customHeight="1">
      <c r="A76" t="s">
        <v>14</v>
      </c>
      <c r="B76" t="s">
        <v>2824</v>
      </c>
      <c r="C76" t="s">
        <v>2825</v>
      </c>
      <c r="D76" t="s">
        <v>2839</v>
      </c>
      <c r="E76" t="s">
        <v>2840</v>
      </c>
      <c r="F76" t="s">
        <v>2680</v>
      </c>
      <c r="G76" t="s">
        <v>2841</v>
      </c>
    </row>
    <row r="77" spans="1:7" ht="11.25" customHeight="1">
      <c r="A77" t="s">
        <v>14</v>
      </c>
      <c r="B77" t="s">
        <v>2824</v>
      </c>
      <c r="C77" t="s">
        <v>2825</v>
      </c>
      <c r="D77" t="s">
        <v>2842</v>
      </c>
      <c r="E77" t="s">
        <v>2843</v>
      </c>
      <c r="F77" t="s">
        <v>2680</v>
      </c>
      <c r="G77" t="s">
        <v>2844</v>
      </c>
    </row>
    <row r="78" spans="1:7" ht="11.25" customHeight="1">
      <c r="A78" t="s">
        <v>14</v>
      </c>
      <c r="B78" t="s">
        <v>2824</v>
      </c>
      <c r="C78" t="s">
        <v>2825</v>
      </c>
      <c r="D78" t="s">
        <v>2845</v>
      </c>
      <c r="E78" t="s">
        <v>2846</v>
      </c>
      <c r="F78" t="s">
        <v>2680</v>
      </c>
      <c r="G78" t="s">
        <v>2847</v>
      </c>
    </row>
    <row r="79" spans="1:7" ht="11.25" customHeight="1">
      <c r="A79" t="s">
        <v>14</v>
      </c>
      <c r="B79" t="s">
        <v>2824</v>
      </c>
      <c r="C79" t="s">
        <v>2825</v>
      </c>
      <c r="D79" t="s">
        <v>2848</v>
      </c>
      <c r="E79" t="s">
        <v>2849</v>
      </c>
      <c r="F79" t="s">
        <v>2680</v>
      </c>
      <c r="G79" t="s">
        <v>2850</v>
      </c>
    </row>
    <row r="80" spans="1:7" ht="11.25" customHeight="1">
      <c r="A80" t="s">
        <v>14</v>
      </c>
      <c r="B80" t="s">
        <v>2824</v>
      </c>
      <c r="C80" t="s">
        <v>2825</v>
      </c>
      <c r="D80" t="s">
        <v>2851</v>
      </c>
      <c r="E80" t="s">
        <v>2852</v>
      </c>
      <c r="F80" t="s">
        <v>2680</v>
      </c>
      <c r="G80" t="s">
        <v>2853</v>
      </c>
    </row>
    <row r="81" spans="1:7" ht="11.25" customHeight="1">
      <c r="A81" t="s">
        <v>14</v>
      </c>
      <c r="B81" t="s">
        <v>2824</v>
      </c>
      <c r="C81" t="s">
        <v>2825</v>
      </c>
      <c r="D81" t="s">
        <v>2854</v>
      </c>
      <c r="E81" t="s">
        <v>2855</v>
      </c>
      <c r="F81" t="s">
        <v>2694</v>
      </c>
      <c r="G81" t="s">
        <v>2856</v>
      </c>
    </row>
    <row r="82" spans="1:7" ht="11.25" customHeight="1">
      <c r="A82" t="s">
        <v>14</v>
      </c>
      <c r="B82" t="s">
        <v>2824</v>
      </c>
      <c r="C82" t="s">
        <v>2825</v>
      </c>
      <c r="D82" t="s">
        <v>2857</v>
      </c>
      <c r="E82" t="s">
        <v>2858</v>
      </c>
      <c r="F82" t="s">
        <v>2694</v>
      </c>
      <c r="G82" t="s">
        <v>2859</v>
      </c>
    </row>
    <row r="83" spans="1:7" ht="11.25" customHeight="1">
      <c r="A83" t="s">
        <v>14</v>
      </c>
      <c r="B83" t="s">
        <v>2824</v>
      </c>
      <c r="C83" t="s">
        <v>2825</v>
      </c>
      <c r="D83" t="s">
        <v>2860</v>
      </c>
      <c r="E83" t="s">
        <v>2861</v>
      </c>
      <c r="F83" t="s">
        <v>2680</v>
      </c>
      <c r="G83" t="s">
        <v>2862</v>
      </c>
    </row>
    <row r="84" spans="1:7" ht="11.25" customHeight="1">
      <c r="A84" t="s">
        <v>14</v>
      </c>
      <c r="B84" t="s">
        <v>2824</v>
      </c>
      <c r="C84" t="s">
        <v>2825</v>
      </c>
      <c r="D84" t="s">
        <v>2863</v>
      </c>
      <c r="E84" t="s">
        <v>2864</v>
      </c>
      <c r="F84" t="s">
        <v>2680</v>
      </c>
      <c r="G84" t="s">
        <v>2865</v>
      </c>
    </row>
    <row r="85" spans="1:7" ht="11.25" customHeight="1">
      <c r="A85" t="s">
        <v>14</v>
      </c>
      <c r="B85" t="s">
        <v>2824</v>
      </c>
      <c r="C85" t="s">
        <v>2825</v>
      </c>
      <c r="D85" t="s">
        <v>2866</v>
      </c>
      <c r="E85" t="s">
        <v>2867</v>
      </c>
      <c r="F85" t="s">
        <v>2680</v>
      </c>
      <c r="G85" t="s">
        <v>2868</v>
      </c>
    </row>
    <row r="86" spans="1:7" ht="11.25" customHeight="1">
      <c r="A86" t="s">
        <v>14</v>
      </c>
      <c r="B86" t="s">
        <v>2824</v>
      </c>
      <c r="C86" t="s">
        <v>2825</v>
      </c>
      <c r="D86" t="s">
        <v>2869</v>
      </c>
      <c r="E86" t="s">
        <v>2870</v>
      </c>
      <c r="F86" t="s">
        <v>2680</v>
      </c>
      <c r="G86" t="s">
        <v>2871</v>
      </c>
    </row>
    <row r="87" spans="1:7" ht="11.25" customHeight="1">
      <c r="A87" t="s">
        <v>14</v>
      </c>
      <c r="B87" t="s">
        <v>2872</v>
      </c>
      <c r="C87" t="s">
        <v>2873</v>
      </c>
      <c r="D87" t="s">
        <v>2874</v>
      </c>
      <c r="E87" t="s">
        <v>2875</v>
      </c>
      <c r="F87" t="s">
        <v>2680</v>
      </c>
      <c r="G87" t="s">
        <v>2876</v>
      </c>
    </row>
    <row r="88" spans="1:7" ht="11.25" customHeight="1">
      <c r="A88" t="s">
        <v>14</v>
      </c>
      <c r="B88" t="s">
        <v>2872</v>
      </c>
      <c r="C88" t="s">
        <v>2873</v>
      </c>
      <c r="D88" t="s">
        <v>2877</v>
      </c>
      <c r="E88" t="s">
        <v>2878</v>
      </c>
      <c r="F88" t="s">
        <v>2680</v>
      </c>
      <c r="G88" t="s">
        <v>2879</v>
      </c>
    </row>
    <row r="89" spans="1:7" ht="11.25" customHeight="1">
      <c r="A89" t="s">
        <v>14</v>
      </c>
      <c r="B89" t="s">
        <v>2872</v>
      </c>
      <c r="C89" t="s">
        <v>2873</v>
      </c>
      <c r="D89" t="s">
        <v>2880</v>
      </c>
      <c r="E89" t="s">
        <v>2881</v>
      </c>
      <c r="F89" t="s">
        <v>2680</v>
      </c>
      <c r="G89" t="s">
        <v>2882</v>
      </c>
    </row>
    <row r="90" spans="1:7" ht="11.25" customHeight="1">
      <c r="A90" t="s">
        <v>14</v>
      </c>
      <c r="B90" t="s">
        <v>2872</v>
      </c>
      <c r="C90" t="s">
        <v>2873</v>
      </c>
      <c r="D90" t="s">
        <v>2883</v>
      </c>
      <c r="E90" t="s">
        <v>2884</v>
      </c>
      <c r="F90" t="s">
        <v>2680</v>
      </c>
      <c r="G90" t="s">
        <v>2885</v>
      </c>
    </row>
    <row r="91" spans="1:7" ht="11.25" customHeight="1">
      <c r="A91" t="s">
        <v>14</v>
      </c>
      <c r="B91" t="s">
        <v>2872</v>
      </c>
      <c r="C91" t="s">
        <v>2873</v>
      </c>
      <c r="D91" t="s">
        <v>2886</v>
      </c>
      <c r="E91" t="s">
        <v>2887</v>
      </c>
      <c r="F91" t="s">
        <v>2680</v>
      </c>
      <c r="G91" t="s">
        <v>2888</v>
      </c>
    </row>
    <row r="92" spans="1:7" ht="11.25" customHeight="1">
      <c r="A92" t="s">
        <v>14</v>
      </c>
      <c r="B92" t="s">
        <v>2872</v>
      </c>
      <c r="C92" t="s">
        <v>2873</v>
      </c>
      <c r="D92" t="s">
        <v>2889</v>
      </c>
      <c r="E92" t="s">
        <v>2890</v>
      </c>
      <c r="F92" t="s">
        <v>2680</v>
      </c>
      <c r="G92" t="s">
        <v>2891</v>
      </c>
    </row>
    <row r="93" spans="1:7" ht="11.25" customHeight="1">
      <c r="A93" t="s">
        <v>14</v>
      </c>
      <c r="B93" t="s">
        <v>2872</v>
      </c>
      <c r="C93" t="s">
        <v>2873</v>
      </c>
      <c r="D93" t="s">
        <v>2872</v>
      </c>
      <c r="E93" t="s">
        <v>2873</v>
      </c>
      <c r="F93" t="s">
        <v>2677</v>
      </c>
      <c r="G93" t="s">
        <v>2892</v>
      </c>
    </row>
    <row r="94" spans="1:7" ht="11.25" customHeight="1">
      <c r="A94" t="s">
        <v>14</v>
      </c>
      <c r="B94" t="s">
        <v>2872</v>
      </c>
      <c r="C94" t="s">
        <v>2873</v>
      </c>
      <c r="D94" t="s">
        <v>2893</v>
      </c>
      <c r="E94" t="s">
        <v>2894</v>
      </c>
      <c r="F94" t="s">
        <v>2680</v>
      </c>
      <c r="G94" t="s">
        <v>2895</v>
      </c>
    </row>
    <row r="95" spans="1:7" ht="11.25" customHeight="1">
      <c r="A95" t="s">
        <v>14</v>
      </c>
      <c r="B95" t="s">
        <v>2872</v>
      </c>
      <c r="C95" t="s">
        <v>2873</v>
      </c>
      <c r="D95" t="s">
        <v>2896</v>
      </c>
      <c r="E95" t="s">
        <v>2897</v>
      </c>
      <c r="F95" t="s">
        <v>2680</v>
      </c>
      <c r="G95" t="s">
        <v>2898</v>
      </c>
    </row>
    <row r="96" spans="1:7" ht="11.25" customHeight="1">
      <c r="A96" t="s">
        <v>14</v>
      </c>
      <c r="B96" t="s">
        <v>2899</v>
      </c>
      <c r="C96" t="s">
        <v>2900</v>
      </c>
      <c r="D96" t="s">
        <v>2901</v>
      </c>
      <c r="E96" t="s">
        <v>2902</v>
      </c>
      <c r="F96" t="s">
        <v>2680</v>
      </c>
      <c r="G96" t="s">
        <v>2903</v>
      </c>
    </row>
    <row r="97" spans="1:7" ht="11.25" customHeight="1">
      <c r="A97" t="s">
        <v>14</v>
      </c>
      <c r="B97" t="s">
        <v>2899</v>
      </c>
      <c r="C97" t="s">
        <v>2900</v>
      </c>
      <c r="D97" t="s">
        <v>2899</v>
      </c>
      <c r="E97" t="s">
        <v>2900</v>
      </c>
      <c r="F97" t="s">
        <v>2677</v>
      </c>
      <c r="G97" t="s">
        <v>2904</v>
      </c>
    </row>
    <row r="98" spans="1:7" ht="11.25" customHeight="1">
      <c r="A98" t="s">
        <v>14</v>
      </c>
      <c r="B98" t="s">
        <v>2899</v>
      </c>
      <c r="C98" t="s">
        <v>2900</v>
      </c>
      <c r="D98" t="s">
        <v>2905</v>
      </c>
      <c r="E98" t="s">
        <v>2906</v>
      </c>
      <c r="F98" t="s">
        <v>2680</v>
      </c>
      <c r="G98" t="s">
        <v>2907</v>
      </c>
    </row>
    <row r="99" spans="1:7" ht="11.25" customHeight="1">
      <c r="A99" t="s">
        <v>14</v>
      </c>
      <c r="B99" t="s">
        <v>2899</v>
      </c>
      <c r="C99" t="s">
        <v>2900</v>
      </c>
      <c r="D99" t="s">
        <v>2908</v>
      </c>
      <c r="E99" t="s">
        <v>2909</v>
      </c>
      <c r="F99" t="s">
        <v>2680</v>
      </c>
      <c r="G99" t="s">
        <v>2910</v>
      </c>
    </row>
    <row r="100" spans="1:7" ht="11.25" customHeight="1">
      <c r="A100" t="s">
        <v>14</v>
      </c>
      <c r="B100" t="s">
        <v>2899</v>
      </c>
      <c r="C100" t="s">
        <v>2900</v>
      </c>
      <c r="D100" t="s">
        <v>2911</v>
      </c>
      <c r="E100" t="s">
        <v>2912</v>
      </c>
      <c r="F100" t="s">
        <v>2694</v>
      </c>
      <c r="G100" t="s">
        <v>2913</v>
      </c>
    </row>
    <row r="101" spans="1:7" ht="11.25" customHeight="1">
      <c r="A101" t="s">
        <v>14</v>
      </c>
      <c r="B101" t="s">
        <v>2899</v>
      </c>
      <c r="C101" t="s">
        <v>2900</v>
      </c>
      <c r="D101" t="s">
        <v>2914</v>
      </c>
      <c r="E101" t="s">
        <v>2915</v>
      </c>
      <c r="F101" t="s">
        <v>2680</v>
      </c>
      <c r="G101" t="s">
        <v>2916</v>
      </c>
    </row>
    <row r="102" spans="1:7" ht="11.25" customHeight="1">
      <c r="A102" t="s">
        <v>14</v>
      </c>
      <c r="B102" t="s">
        <v>2917</v>
      </c>
      <c r="C102" t="s">
        <v>2918</v>
      </c>
      <c r="D102" t="s">
        <v>2919</v>
      </c>
      <c r="E102" t="s">
        <v>2920</v>
      </c>
      <c r="F102" t="s">
        <v>2680</v>
      </c>
      <c r="G102" t="s">
        <v>2921</v>
      </c>
    </row>
    <row r="103" spans="1:7" ht="11.25" customHeight="1">
      <c r="A103" t="s">
        <v>14</v>
      </c>
      <c r="B103" t="s">
        <v>2917</v>
      </c>
      <c r="C103" t="s">
        <v>2918</v>
      </c>
      <c r="D103" t="s">
        <v>2922</v>
      </c>
      <c r="E103" t="s">
        <v>2923</v>
      </c>
      <c r="F103" t="s">
        <v>2680</v>
      </c>
      <c r="G103" t="s">
        <v>2924</v>
      </c>
    </row>
    <row r="104" spans="1:7" ht="11.25" customHeight="1">
      <c r="A104" t="s">
        <v>14</v>
      </c>
      <c r="B104" t="s">
        <v>2917</v>
      </c>
      <c r="C104" t="s">
        <v>2918</v>
      </c>
      <c r="D104" t="s">
        <v>2925</v>
      </c>
      <c r="E104" t="s">
        <v>2926</v>
      </c>
      <c r="F104" t="s">
        <v>2680</v>
      </c>
      <c r="G104" t="s">
        <v>2927</v>
      </c>
    </row>
    <row r="105" spans="1:7" ht="11.25" customHeight="1">
      <c r="A105" t="s">
        <v>14</v>
      </c>
      <c r="B105" t="s">
        <v>2917</v>
      </c>
      <c r="C105" t="s">
        <v>2918</v>
      </c>
      <c r="D105" t="s">
        <v>2928</v>
      </c>
      <c r="E105" t="s">
        <v>2929</v>
      </c>
      <c r="F105" t="s">
        <v>2680</v>
      </c>
      <c r="G105" t="s">
        <v>2930</v>
      </c>
    </row>
    <row r="106" spans="1:7" ht="11.25" customHeight="1">
      <c r="A106" t="s">
        <v>14</v>
      </c>
      <c r="B106" t="s">
        <v>2917</v>
      </c>
      <c r="C106" t="s">
        <v>2918</v>
      </c>
      <c r="D106" t="s">
        <v>2931</v>
      </c>
      <c r="E106" t="s">
        <v>2932</v>
      </c>
      <c r="F106" t="s">
        <v>2683</v>
      </c>
      <c r="G106" t="s">
        <v>2933</v>
      </c>
    </row>
    <row r="107" spans="1:7" ht="11.25" customHeight="1">
      <c r="A107" t="s">
        <v>14</v>
      </c>
      <c r="B107" t="s">
        <v>2917</v>
      </c>
      <c r="C107" t="s">
        <v>2918</v>
      </c>
      <c r="D107" t="s">
        <v>2934</v>
      </c>
      <c r="E107" t="s">
        <v>2935</v>
      </c>
      <c r="F107" t="s">
        <v>2680</v>
      </c>
      <c r="G107" t="s">
        <v>2936</v>
      </c>
    </row>
    <row r="108" spans="1:7" ht="11.25" customHeight="1">
      <c r="A108" t="s">
        <v>14</v>
      </c>
      <c r="B108" t="s">
        <v>2917</v>
      </c>
      <c r="C108" t="s">
        <v>2918</v>
      </c>
      <c r="D108" t="s">
        <v>2917</v>
      </c>
      <c r="E108" t="s">
        <v>2918</v>
      </c>
      <c r="F108" t="s">
        <v>2677</v>
      </c>
      <c r="G108" t="s">
        <v>2937</v>
      </c>
    </row>
    <row r="109" spans="1:7" ht="11.25" customHeight="1">
      <c r="A109" t="s">
        <v>14</v>
      </c>
      <c r="B109" t="s">
        <v>2917</v>
      </c>
      <c r="C109" t="s">
        <v>2918</v>
      </c>
      <c r="D109" t="s">
        <v>2938</v>
      </c>
      <c r="E109" t="s">
        <v>2939</v>
      </c>
      <c r="F109" t="s">
        <v>2680</v>
      </c>
      <c r="G109" t="s">
        <v>2940</v>
      </c>
    </row>
    <row r="110" spans="1:7" ht="11.25" customHeight="1">
      <c r="A110" t="s">
        <v>14</v>
      </c>
      <c r="B110" t="s">
        <v>2917</v>
      </c>
      <c r="C110" t="s">
        <v>2918</v>
      </c>
      <c r="D110" t="s">
        <v>2941</v>
      </c>
      <c r="E110" t="s">
        <v>2942</v>
      </c>
      <c r="F110" t="s">
        <v>2680</v>
      </c>
      <c r="G110" t="s">
        <v>2943</v>
      </c>
    </row>
    <row r="111" spans="1:7" ht="11.25" customHeight="1">
      <c r="A111" t="s">
        <v>14</v>
      </c>
      <c r="B111" t="s">
        <v>2917</v>
      </c>
      <c r="C111" t="s">
        <v>2918</v>
      </c>
      <c r="D111" t="s">
        <v>2944</v>
      </c>
      <c r="E111" t="s">
        <v>2945</v>
      </c>
      <c r="F111" t="s">
        <v>2680</v>
      </c>
      <c r="G111" t="s">
        <v>2946</v>
      </c>
    </row>
    <row r="112" spans="1:7" ht="11.25" customHeight="1">
      <c r="A112" t="s">
        <v>14</v>
      </c>
      <c r="B112" t="s">
        <v>2917</v>
      </c>
      <c r="C112" t="s">
        <v>2918</v>
      </c>
      <c r="D112" t="s">
        <v>2947</v>
      </c>
      <c r="E112" t="s">
        <v>2948</v>
      </c>
      <c r="F112" t="s">
        <v>2680</v>
      </c>
      <c r="G112" t="s">
        <v>2949</v>
      </c>
    </row>
    <row r="113" spans="1:7" ht="11.25" customHeight="1">
      <c r="A113" t="s">
        <v>14</v>
      </c>
      <c r="B113" t="s">
        <v>2917</v>
      </c>
      <c r="C113" t="s">
        <v>2918</v>
      </c>
      <c r="D113" t="s">
        <v>2950</v>
      </c>
      <c r="E113" t="s">
        <v>2951</v>
      </c>
      <c r="F113" t="s">
        <v>2680</v>
      </c>
      <c r="G113" t="s">
        <v>2952</v>
      </c>
    </row>
    <row r="114" spans="1:7" ht="11.25" customHeight="1">
      <c r="A114" t="s">
        <v>14</v>
      </c>
      <c r="B114" t="s">
        <v>2917</v>
      </c>
      <c r="C114" t="s">
        <v>2918</v>
      </c>
      <c r="D114" t="s">
        <v>2953</v>
      </c>
      <c r="E114" t="s">
        <v>2954</v>
      </c>
      <c r="F114" t="s">
        <v>2680</v>
      </c>
      <c r="G114" t="s">
        <v>2955</v>
      </c>
    </row>
    <row r="115" spans="1:7" ht="11.25" customHeight="1">
      <c r="A115" t="s">
        <v>14</v>
      </c>
      <c r="B115" t="s">
        <v>2956</v>
      </c>
      <c r="C115" t="s">
        <v>2957</v>
      </c>
      <c r="D115" t="s">
        <v>2958</v>
      </c>
      <c r="E115" t="s">
        <v>2959</v>
      </c>
      <c r="F115" t="s">
        <v>2680</v>
      </c>
      <c r="G115" t="s">
        <v>2960</v>
      </c>
    </row>
    <row r="116" spans="1:7" ht="11.25" customHeight="1">
      <c r="A116" t="s">
        <v>14</v>
      </c>
      <c r="B116" t="s">
        <v>2956</v>
      </c>
      <c r="C116" t="s">
        <v>2957</v>
      </c>
      <c r="D116" t="s">
        <v>2961</v>
      </c>
      <c r="E116" t="s">
        <v>2962</v>
      </c>
      <c r="F116" t="s">
        <v>2680</v>
      </c>
      <c r="G116" t="s">
        <v>2963</v>
      </c>
    </row>
    <row r="117" spans="1:7" ht="11.25" customHeight="1">
      <c r="A117" t="s">
        <v>14</v>
      </c>
      <c r="B117" t="s">
        <v>2956</v>
      </c>
      <c r="C117" t="s">
        <v>2957</v>
      </c>
      <c r="D117" t="s">
        <v>2964</v>
      </c>
      <c r="E117" t="s">
        <v>2965</v>
      </c>
      <c r="F117" t="s">
        <v>2680</v>
      </c>
      <c r="G117" t="s">
        <v>2966</v>
      </c>
    </row>
    <row r="118" spans="1:7" ht="11.25" customHeight="1">
      <c r="A118" t="s">
        <v>14</v>
      </c>
      <c r="B118" t="s">
        <v>2956</v>
      </c>
      <c r="C118" t="s">
        <v>2957</v>
      </c>
      <c r="D118" t="s">
        <v>2967</v>
      </c>
      <c r="E118" t="s">
        <v>2968</v>
      </c>
      <c r="F118" t="s">
        <v>2680</v>
      </c>
      <c r="G118" t="s">
        <v>2969</v>
      </c>
    </row>
    <row r="119" spans="1:7" ht="11.25" customHeight="1">
      <c r="A119" t="s">
        <v>14</v>
      </c>
      <c r="B119" t="s">
        <v>2956</v>
      </c>
      <c r="C119" t="s">
        <v>2957</v>
      </c>
      <c r="D119" t="s">
        <v>2970</v>
      </c>
      <c r="E119" t="s">
        <v>2971</v>
      </c>
      <c r="F119" t="s">
        <v>2680</v>
      </c>
      <c r="G119" t="s">
        <v>2972</v>
      </c>
    </row>
    <row r="120" spans="1:7" ht="11.25" customHeight="1">
      <c r="A120" t="s">
        <v>14</v>
      </c>
      <c r="B120" t="s">
        <v>2956</v>
      </c>
      <c r="C120" t="s">
        <v>2957</v>
      </c>
      <c r="D120" t="s">
        <v>2956</v>
      </c>
      <c r="E120" t="s">
        <v>2957</v>
      </c>
      <c r="F120" t="s">
        <v>2677</v>
      </c>
      <c r="G120" t="s">
        <v>2973</v>
      </c>
    </row>
    <row r="121" spans="1:7" ht="11.25" customHeight="1">
      <c r="A121" t="s">
        <v>14</v>
      </c>
      <c r="B121" t="s">
        <v>2956</v>
      </c>
      <c r="C121" t="s">
        <v>2957</v>
      </c>
      <c r="D121" t="s">
        <v>2974</v>
      </c>
      <c r="E121" t="s">
        <v>2975</v>
      </c>
      <c r="F121" t="s">
        <v>2680</v>
      </c>
      <c r="G121" t="s">
        <v>2976</v>
      </c>
    </row>
    <row r="122" spans="1:7" ht="11.25" customHeight="1">
      <c r="A122" t="s">
        <v>14</v>
      </c>
      <c r="B122" t="s">
        <v>2956</v>
      </c>
      <c r="C122" t="s">
        <v>2957</v>
      </c>
      <c r="D122" t="s">
        <v>2977</v>
      </c>
      <c r="E122" t="s">
        <v>2978</v>
      </c>
      <c r="F122" t="s">
        <v>2680</v>
      </c>
      <c r="G122" t="s">
        <v>2979</v>
      </c>
    </row>
    <row r="123" spans="1:7" ht="11.25" customHeight="1">
      <c r="A123" t="s">
        <v>14</v>
      </c>
      <c r="B123" t="s">
        <v>2956</v>
      </c>
      <c r="C123" t="s">
        <v>2957</v>
      </c>
      <c r="D123" t="s">
        <v>2980</v>
      </c>
      <c r="E123" t="s">
        <v>2981</v>
      </c>
      <c r="F123" t="s">
        <v>2680</v>
      </c>
      <c r="G123" t="s">
        <v>2982</v>
      </c>
    </row>
    <row r="124" spans="1:7" ht="11.25" customHeight="1">
      <c r="A124" t="s">
        <v>14</v>
      </c>
      <c r="B124" t="s">
        <v>2956</v>
      </c>
      <c r="C124" t="s">
        <v>2957</v>
      </c>
      <c r="D124" t="s">
        <v>2983</v>
      </c>
      <c r="E124" t="s">
        <v>2984</v>
      </c>
      <c r="F124" t="s">
        <v>2680</v>
      </c>
      <c r="G124" t="s">
        <v>2985</v>
      </c>
    </row>
    <row r="125" spans="1:7" ht="11.25" customHeight="1">
      <c r="A125" t="s">
        <v>14</v>
      </c>
      <c r="B125" t="s">
        <v>2956</v>
      </c>
      <c r="C125" t="s">
        <v>2957</v>
      </c>
      <c r="D125" t="s">
        <v>2986</v>
      </c>
      <c r="E125" t="s">
        <v>2987</v>
      </c>
      <c r="F125" t="s">
        <v>2680</v>
      </c>
      <c r="G125" t="s">
        <v>2988</v>
      </c>
    </row>
    <row r="126" spans="1:7" ht="11.25" customHeight="1">
      <c r="A126" t="s">
        <v>14</v>
      </c>
      <c r="B126" t="s">
        <v>2956</v>
      </c>
      <c r="C126" t="s">
        <v>2957</v>
      </c>
      <c r="D126" t="s">
        <v>2989</v>
      </c>
      <c r="E126" t="s">
        <v>2990</v>
      </c>
      <c r="F126" t="s">
        <v>2680</v>
      </c>
      <c r="G126" t="s">
        <v>2991</v>
      </c>
    </row>
    <row r="127" spans="1:7" ht="11.25" customHeight="1">
      <c r="A127" t="s">
        <v>14</v>
      </c>
      <c r="B127" t="s">
        <v>2956</v>
      </c>
      <c r="C127" t="s">
        <v>2957</v>
      </c>
      <c r="D127" t="s">
        <v>2992</v>
      </c>
      <c r="E127" t="s">
        <v>2993</v>
      </c>
      <c r="F127" t="s">
        <v>2680</v>
      </c>
      <c r="G127" t="s">
        <v>2994</v>
      </c>
    </row>
    <row r="128" spans="1:7" ht="11.25" customHeight="1">
      <c r="A128" t="s">
        <v>14</v>
      </c>
      <c r="B128" t="s">
        <v>2995</v>
      </c>
      <c r="C128" t="s">
        <v>2996</v>
      </c>
      <c r="D128" t="s">
        <v>2997</v>
      </c>
      <c r="E128" t="s">
        <v>2998</v>
      </c>
      <c r="F128" t="s">
        <v>2680</v>
      </c>
      <c r="G128" t="s">
        <v>2999</v>
      </c>
    </row>
    <row r="129" spans="1:7" ht="11.25" customHeight="1">
      <c r="A129" t="s">
        <v>14</v>
      </c>
      <c r="B129" t="s">
        <v>2995</v>
      </c>
      <c r="C129" t="s">
        <v>2996</v>
      </c>
      <c r="D129" t="s">
        <v>3000</v>
      </c>
      <c r="E129" t="s">
        <v>3001</v>
      </c>
      <c r="F129" t="s">
        <v>2683</v>
      </c>
      <c r="G129" t="s">
        <v>3002</v>
      </c>
    </row>
    <row r="130" spans="1:7" ht="11.25" customHeight="1">
      <c r="A130" t="s">
        <v>14</v>
      </c>
      <c r="B130" t="s">
        <v>2995</v>
      </c>
      <c r="C130" t="s">
        <v>2996</v>
      </c>
      <c r="D130" t="s">
        <v>3003</v>
      </c>
      <c r="E130" t="s">
        <v>3004</v>
      </c>
      <c r="F130" t="s">
        <v>2680</v>
      </c>
      <c r="G130" t="s">
        <v>3005</v>
      </c>
    </row>
    <row r="131" spans="1:7" ht="11.25" customHeight="1">
      <c r="A131" t="s">
        <v>14</v>
      </c>
      <c r="B131" t="s">
        <v>2995</v>
      </c>
      <c r="C131" t="s">
        <v>2996</v>
      </c>
      <c r="D131" t="s">
        <v>3006</v>
      </c>
      <c r="E131" t="s">
        <v>3007</v>
      </c>
      <c r="F131" t="s">
        <v>2680</v>
      </c>
      <c r="G131" t="s">
        <v>3008</v>
      </c>
    </row>
    <row r="132" spans="1:7" ht="11.25" customHeight="1">
      <c r="A132" t="s">
        <v>14</v>
      </c>
      <c r="B132" t="s">
        <v>2995</v>
      </c>
      <c r="C132" t="s">
        <v>2996</v>
      </c>
      <c r="D132" t="s">
        <v>3009</v>
      </c>
      <c r="E132" t="s">
        <v>3010</v>
      </c>
      <c r="F132" t="s">
        <v>2680</v>
      </c>
      <c r="G132" t="s">
        <v>3011</v>
      </c>
    </row>
    <row r="133" spans="1:7" ht="11.25" customHeight="1">
      <c r="A133" t="s">
        <v>14</v>
      </c>
      <c r="B133" t="s">
        <v>2995</v>
      </c>
      <c r="C133" t="s">
        <v>2996</v>
      </c>
      <c r="D133" t="s">
        <v>3012</v>
      </c>
      <c r="E133" t="s">
        <v>3013</v>
      </c>
      <c r="F133" t="s">
        <v>2680</v>
      </c>
      <c r="G133" t="s">
        <v>3014</v>
      </c>
    </row>
    <row r="134" spans="1:7" ht="11.25" customHeight="1">
      <c r="A134" t="s">
        <v>14</v>
      </c>
      <c r="B134" t="s">
        <v>2995</v>
      </c>
      <c r="C134" t="s">
        <v>2996</v>
      </c>
      <c r="D134" t="s">
        <v>3015</v>
      </c>
      <c r="E134" t="s">
        <v>3016</v>
      </c>
      <c r="F134" t="s">
        <v>2680</v>
      </c>
      <c r="G134" t="s">
        <v>3017</v>
      </c>
    </row>
    <row r="135" spans="1:7" ht="11.25" customHeight="1">
      <c r="A135" t="s">
        <v>14</v>
      </c>
      <c r="B135" t="s">
        <v>2995</v>
      </c>
      <c r="C135" t="s">
        <v>2996</v>
      </c>
      <c r="D135" t="s">
        <v>3018</v>
      </c>
      <c r="E135" t="s">
        <v>3019</v>
      </c>
      <c r="F135" t="s">
        <v>2680</v>
      </c>
      <c r="G135" t="s">
        <v>3020</v>
      </c>
    </row>
    <row r="136" spans="1:7" ht="11.25" customHeight="1">
      <c r="A136" t="s">
        <v>14</v>
      </c>
      <c r="B136" t="s">
        <v>2995</v>
      </c>
      <c r="C136" t="s">
        <v>2996</v>
      </c>
      <c r="D136" t="s">
        <v>3021</v>
      </c>
      <c r="E136" t="s">
        <v>3022</v>
      </c>
      <c r="F136" t="s">
        <v>2680</v>
      </c>
      <c r="G136" t="s">
        <v>3023</v>
      </c>
    </row>
    <row r="137" spans="1:7" ht="11.25" customHeight="1">
      <c r="A137" t="s">
        <v>14</v>
      </c>
      <c r="B137" t="s">
        <v>2995</v>
      </c>
      <c r="C137" t="s">
        <v>2996</v>
      </c>
      <c r="D137" t="s">
        <v>2995</v>
      </c>
      <c r="E137" t="s">
        <v>2996</v>
      </c>
      <c r="F137" t="s">
        <v>2677</v>
      </c>
      <c r="G137" t="s">
        <v>3024</v>
      </c>
    </row>
    <row r="138" spans="1:7" ht="11.25" customHeight="1">
      <c r="A138" t="s">
        <v>14</v>
      </c>
      <c r="B138" t="s">
        <v>2995</v>
      </c>
      <c r="C138" t="s">
        <v>2996</v>
      </c>
      <c r="D138" t="s">
        <v>3025</v>
      </c>
      <c r="E138" t="s">
        <v>3026</v>
      </c>
      <c r="F138" t="s">
        <v>2680</v>
      </c>
      <c r="G138" t="s">
        <v>3027</v>
      </c>
    </row>
    <row r="139" spans="1:7" ht="11.25" customHeight="1">
      <c r="A139" t="s">
        <v>14</v>
      </c>
      <c r="B139" t="s">
        <v>3028</v>
      </c>
      <c r="C139" t="s">
        <v>3029</v>
      </c>
      <c r="D139" t="s">
        <v>3030</v>
      </c>
      <c r="E139" t="s">
        <v>3031</v>
      </c>
      <c r="F139" t="s">
        <v>2680</v>
      </c>
      <c r="G139" t="s">
        <v>3032</v>
      </c>
    </row>
    <row r="140" spans="1:7" ht="11.25" customHeight="1">
      <c r="A140" t="s">
        <v>14</v>
      </c>
      <c r="B140" t="s">
        <v>3028</v>
      </c>
      <c r="C140" t="s">
        <v>3029</v>
      </c>
      <c r="D140" t="s">
        <v>3028</v>
      </c>
      <c r="E140" t="s">
        <v>3029</v>
      </c>
      <c r="F140" t="s">
        <v>2677</v>
      </c>
      <c r="G140" t="s">
        <v>3033</v>
      </c>
    </row>
    <row r="141" spans="1:7" ht="11.25" customHeight="1">
      <c r="A141" t="s">
        <v>14</v>
      </c>
      <c r="B141" t="s">
        <v>3028</v>
      </c>
      <c r="C141" t="s">
        <v>3029</v>
      </c>
      <c r="D141" t="s">
        <v>3034</v>
      </c>
      <c r="E141" t="s">
        <v>3035</v>
      </c>
      <c r="F141" t="s">
        <v>2680</v>
      </c>
      <c r="G141" t="s">
        <v>3036</v>
      </c>
    </row>
  </sheetData>
  <sheetProtection insertRows="0" deleteColumns="0" deleteRows="0" sort="0" autoFilter="0"/>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8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C99"/>
  </sheetPr>
  <dimension ref="A1:C3"/>
  <sheetViews>
    <sheetView showGridLines="0" workbookViewId="0"/>
  </sheetViews>
  <sheetFormatPr defaultColWidth="9.140625" defaultRowHeight="11.25" customHeight="1"/>
  <cols>
    <col min="1" max="1" width="9.140625" style="1870"/>
    <col min="2" max="2" width="84.28515625" style="1870" customWidth="1"/>
    <col min="3" max="3" width="9.140625" style="1870"/>
  </cols>
  <sheetData>
    <row r="1" spans="1:3" ht="11.25" customHeight="1">
      <c r="A1" s="740" t="s">
        <v>3048</v>
      </c>
      <c r="B1" s="740" t="s">
        <v>3049</v>
      </c>
      <c r="C1" s="740" t="s">
        <v>728</v>
      </c>
    </row>
    <row r="2" spans="1:3" ht="11.25" customHeight="1">
      <c r="A2" s="740">
        <v>4189678</v>
      </c>
      <c r="B2" s="740" t="s">
        <v>3050</v>
      </c>
      <c r="C2" s="740" t="s">
        <v>3051</v>
      </c>
    </row>
    <row r="3" spans="1:3" ht="11.25" customHeight="1">
      <c r="A3" s="740">
        <v>4190415</v>
      </c>
      <c r="B3" s="740" t="s">
        <v>3052</v>
      </c>
      <c r="C3" s="740" t="s">
        <v>3051</v>
      </c>
    </row>
  </sheetData>
  <sheetProtection insertRows="0" deleteColumns="0" deleteRows="0" sort="0" autoFilter="0"/>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8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C99"/>
  </sheetPr>
  <dimension ref="A1:E8"/>
  <sheetViews>
    <sheetView showGridLines="0" workbookViewId="0"/>
  </sheetViews>
  <sheetFormatPr defaultColWidth="9.140625" defaultRowHeight="15" customHeight="1"/>
  <cols>
    <col min="1" max="1" width="38.42578125" style="1730" customWidth="1"/>
    <col min="2" max="5" width="9.140625" style="1730"/>
  </cols>
  <sheetData>
    <row r="1" spans="1:5" ht="15" customHeight="1">
      <c r="A1" s="91" t="s">
        <v>3053</v>
      </c>
      <c r="B1" s="91" t="s">
        <v>3054</v>
      </c>
      <c r="C1" s="91"/>
      <c r="D1" s="91"/>
      <c r="E1" s="91"/>
    </row>
    <row r="2" spans="1:5" ht="15" customHeight="1">
      <c r="A2" s="91"/>
      <c r="B2" s="91"/>
      <c r="C2" s="91"/>
      <c r="D2" s="91"/>
      <c r="E2" s="91"/>
    </row>
    <row r="3" spans="1:5" ht="15" customHeight="1">
      <c r="A3" s="91"/>
      <c r="B3" s="91"/>
      <c r="C3" s="91"/>
      <c r="D3" s="91"/>
      <c r="E3" s="91"/>
    </row>
    <row r="4" spans="1:5" ht="15" customHeight="1">
      <c r="A4" s="91"/>
      <c r="B4" s="91"/>
      <c r="C4" s="91"/>
      <c r="D4" s="91"/>
      <c r="E4" s="91"/>
    </row>
    <row r="5" spans="1:5" ht="15" customHeight="1">
      <c r="A5" s="91"/>
      <c r="B5" s="91"/>
      <c r="C5" s="91"/>
      <c r="D5" s="91"/>
      <c r="E5" s="91"/>
    </row>
    <row r="6" spans="1:5" ht="15" customHeight="1">
      <c r="A6" s="91"/>
      <c r="B6" s="91"/>
      <c r="C6" s="91"/>
      <c r="D6" s="91"/>
      <c r="E6" s="91"/>
    </row>
    <row r="7" spans="1:5" ht="15" customHeight="1">
      <c r="A7" s="91"/>
      <c r="B7" s="91"/>
      <c r="C7" s="91"/>
      <c r="D7" s="91"/>
      <c r="E7" s="91"/>
    </row>
    <row r="8" spans="1:5" ht="15" customHeight="1">
      <c r="A8" s="91"/>
      <c r="B8" s="91"/>
      <c r="C8" s="91"/>
      <c r="D8" s="91"/>
      <c r="E8" s="91"/>
    </row>
  </sheetData>
  <sheetProtection formatColumns="0" formatRows="0" insertRows="0" deleteColumns="0" deleteRows="0" sort="0" autoFilter="0"/>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8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C99"/>
  </sheetPr>
  <dimension ref="A1:B15"/>
  <sheetViews>
    <sheetView workbookViewId="0"/>
  </sheetViews>
  <sheetFormatPr defaultRowHeight="11.25" customHeight="1"/>
  <sheetData>
    <row r="1" spans="1:2" ht="11.25" customHeight="1">
      <c r="A1" t="s">
        <v>3055</v>
      </c>
      <c r="B1" t="b">
        <v>1</v>
      </c>
    </row>
    <row r="2" spans="1:2" ht="11.25" customHeight="1">
      <c r="A2" t="s">
        <v>3056</v>
      </c>
      <c r="B2" t="b">
        <v>0</v>
      </c>
    </row>
    <row r="3" spans="1:2" ht="11.25" customHeight="1">
      <c r="A3" t="s">
        <v>3057</v>
      </c>
      <c r="B3" t="b">
        <v>0</v>
      </c>
    </row>
    <row r="4" spans="1:2" ht="11.25" customHeight="1">
      <c r="A4" t="s">
        <v>3058</v>
      </c>
      <c r="B4" t="b">
        <v>0</v>
      </c>
    </row>
    <row r="5" spans="1:2" ht="11.25" customHeight="1">
      <c r="A5" t="s">
        <v>3059</v>
      </c>
      <c r="B5" t="b">
        <v>0</v>
      </c>
    </row>
    <row r="6" spans="1:2" ht="11.25" customHeight="1">
      <c r="A6" t="s">
        <v>3060</v>
      </c>
      <c r="B6" t="b">
        <v>1</v>
      </c>
    </row>
    <row r="7" spans="1:2" ht="11.25" customHeight="1">
      <c r="A7" t="s">
        <v>3061</v>
      </c>
      <c r="B7" t="b">
        <v>0</v>
      </c>
    </row>
    <row r="8" spans="1:2" ht="11.25" customHeight="1">
      <c r="A8" t="s">
        <v>3062</v>
      </c>
      <c r="B8" t="b">
        <v>0</v>
      </c>
    </row>
    <row r="9" spans="1:2" ht="11.25" customHeight="1">
      <c r="A9" t="s">
        <v>3063</v>
      </c>
      <c r="B9" t="b">
        <v>0</v>
      </c>
    </row>
    <row r="10" spans="1:2" ht="11.25" customHeight="1">
      <c r="A10" t="s">
        <v>3064</v>
      </c>
      <c r="B10" t="b">
        <v>1</v>
      </c>
    </row>
    <row r="11" spans="1:2" ht="11.25" customHeight="1">
      <c r="A11" t="s">
        <v>3065</v>
      </c>
      <c r="B11" t="b">
        <v>0</v>
      </c>
    </row>
    <row r="12" spans="1:2" ht="11.25" customHeight="1">
      <c r="A12" t="s">
        <v>3066</v>
      </c>
      <c r="B12" t="b">
        <v>0</v>
      </c>
    </row>
    <row r="13" spans="1:2" ht="11.25" customHeight="1">
      <c r="A13" t="s">
        <v>3067</v>
      </c>
      <c r="B13" t="b">
        <v>0</v>
      </c>
    </row>
    <row r="14" spans="1:2" ht="11.25" customHeight="1">
      <c r="A14" t="s">
        <v>3068</v>
      </c>
      <c r="B14" t="b">
        <v>0</v>
      </c>
    </row>
    <row r="15" spans="1:2" ht="11.25" customHeight="1">
      <c r="A15" t="s">
        <v>3069</v>
      </c>
      <c r="B15" t="b">
        <v>1</v>
      </c>
    </row>
  </sheetData>
  <sheetProtection insertRows="0" deleteColumns="0" deleteRows="0" sort="0" autoFilter="0"/>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8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C99"/>
  </sheetPr>
  <dimension ref="A1"/>
  <sheetViews>
    <sheetView showGridLines="0" workbookViewId="0"/>
  </sheetViews>
  <sheetFormatPr defaultColWidth="9.140625" defaultRowHeight="12.75" customHeight="1"/>
  <cols>
    <col min="1" max="1" width="9.140625" style="1731"/>
  </cols>
  <sheetData>
    <row r="1" spans="1:1" ht="12.75" customHeight="1">
      <c r="A1" s="33"/>
    </row>
  </sheetData>
  <sheetProtection insertRows="0" deleteColumns="0" deleteRows="0" sort="0" autoFilter="0"/>
  <pageMargins left="0.75" right="0.75" top="1" bottom="1" header="0.5" footer="0.5"/>
  <pageSetup orientation="portrait"/>
  <headerFooter>
    <oddHeader>&amp;L&amp;C&amp;R</oddHeader>
    <oddFooter>&amp;L&amp;C&amp;R</oddFooter>
    <evenHeader>&amp;L&amp;C&amp;R</evenHeader>
    <evenFooter>&amp;L&amp;C&amp;R</evenFooter>
  </headerFooter>
</worksheet>
</file>

<file path=xl/worksheets/sheet8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C99"/>
  </sheetPr>
  <dimension ref="A1:B253"/>
  <sheetViews>
    <sheetView showGridLines="0" workbookViewId="0"/>
  </sheetViews>
  <sheetFormatPr defaultColWidth="9.140625" defaultRowHeight="11.25" customHeight="1"/>
  <cols>
    <col min="1" max="1" width="36.28515625" style="1969" customWidth="1"/>
    <col min="2" max="2" width="21.140625" style="1969" customWidth="1"/>
  </cols>
  <sheetData>
    <row r="1" spans="1:2" ht="11.25" customHeight="1">
      <c r="A1" s="8" t="s">
        <v>3070</v>
      </c>
      <c r="B1" s="8" t="s">
        <v>3071</v>
      </c>
    </row>
    <row r="2" spans="1:2" ht="11.25" customHeight="1">
      <c r="A2" s="5" t="s">
        <v>3072</v>
      </c>
      <c r="B2" s="5" t="s">
        <v>3073</v>
      </c>
    </row>
    <row r="3" spans="1:2" ht="11.25" customHeight="1">
      <c r="A3" s="5" t="s">
        <v>3074</v>
      </c>
      <c r="B3" s="5" t="s">
        <v>3075</v>
      </c>
    </row>
    <row r="4" spans="1:2" ht="11.25" customHeight="1">
      <c r="A4" s="5" t="s">
        <v>3076</v>
      </c>
      <c r="B4" s="5" t="s">
        <v>3077</v>
      </c>
    </row>
    <row r="5" spans="1:2" ht="11.25" customHeight="1">
      <c r="A5" s="5" t="s">
        <v>3078</v>
      </c>
      <c r="B5" s="5" t="s">
        <v>3079</v>
      </c>
    </row>
    <row r="6" spans="1:2" ht="11.25" customHeight="1">
      <c r="A6" s="5" t="s">
        <v>3080</v>
      </c>
      <c r="B6" s="5" t="s">
        <v>3081</v>
      </c>
    </row>
    <row r="7" spans="1:2" ht="11.25" customHeight="1">
      <c r="A7" s="5" t="s">
        <v>3082</v>
      </c>
      <c r="B7" s="5" t="s">
        <v>3083</v>
      </c>
    </row>
    <row r="8" spans="1:2" ht="11.25" customHeight="1">
      <c r="A8" s="5" t="s">
        <v>3084</v>
      </c>
      <c r="B8" s="5" t="s">
        <v>3085</v>
      </c>
    </row>
    <row r="9" spans="1:2" ht="11.25" customHeight="1">
      <c r="A9" s="5" t="s">
        <v>3086</v>
      </c>
      <c r="B9" s="5" t="s">
        <v>3087</v>
      </c>
    </row>
    <row r="10" spans="1:2" ht="11.25" customHeight="1">
      <c r="A10" s="5" t="s">
        <v>3088</v>
      </c>
      <c r="B10" s="5" t="s">
        <v>3089</v>
      </c>
    </row>
    <row r="11" spans="1:2" ht="11.25" customHeight="1">
      <c r="A11" s="5" t="s">
        <v>3090</v>
      </c>
      <c r="B11" s="5" t="s">
        <v>3091</v>
      </c>
    </row>
    <row r="12" spans="1:2" ht="11.25" customHeight="1">
      <c r="A12" s="5" t="s">
        <v>3092</v>
      </c>
      <c r="B12" s="5" t="s">
        <v>3093</v>
      </c>
    </row>
    <row r="13" spans="1:2" ht="11.25" customHeight="1">
      <c r="A13" s="5" t="s">
        <v>3094</v>
      </c>
      <c r="B13" s="5" t="s">
        <v>3095</v>
      </c>
    </row>
    <row r="14" spans="1:2" ht="11.25" customHeight="1">
      <c r="A14" s="5" t="s">
        <v>3096</v>
      </c>
      <c r="B14" s="5" t="s">
        <v>3097</v>
      </c>
    </row>
    <row r="15" spans="1:2" ht="11.25" customHeight="1">
      <c r="A15" s="5" t="s">
        <v>3098</v>
      </c>
      <c r="B15" s="5" t="s">
        <v>3099</v>
      </c>
    </row>
    <row r="16" spans="1:2" ht="11.25" customHeight="1">
      <c r="A16" s="5" t="s">
        <v>3100</v>
      </c>
      <c r="B16" s="5" t="s">
        <v>3101</v>
      </c>
    </row>
    <row r="17" spans="1:2" ht="11.25" customHeight="1">
      <c r="A17" s="5" t="s">
        <v>3102</v>
      </c>
      <c r="B17" s="5" t="s">
        <v>3103</v>
      </c>
    </row>
    <row r="18" spans="1:2" ht="11.25" customHeight="1">
      <c r="A18" s="5" t="s">
        <v>3104</v>
      </c>
      <c r="B18" s="5" t="s">
        <v>3105</v>
      </c>
    </row>
    <row r="19" spans="1:2" ht="11.25" customHeight="1">
      <c r="A19" s="5" t="s">
        <v>3106</v>
      </c>
      <c r="B19" s="5" t="s">
        <v>3107</v>
      </c>
    </row>
    <row r="20" spans="1:2" ht="11.25" customHeight="1">
      <c r="A20" s="5" t="s">
        <v>3108</v>
      </c>
      <c r="B20" s="5" t="s">
        <v>3109</v>
      </c>
    </row>
    <row r="21" spans="1:2" ht="11.25" customHeight="1">
      <c r="A21" s="5" t="s">
        <v>3110</v>
      </c>
      <c r="B21" s="5" t="s">
        <v>3111</v>
      </c>
    </row>
    <row r="22" spans="1:2" ht="11.25" customHeight="1">
      <c r="A22" s="5" t="s">
        <v>3112</v>
      </c>
      <c r="B22" s="5" t="s">
        <v>3113</v>
      </c>
    </row>
    <row r="23" spans="1:2" ht="11.25" customHeight="1">
      <c r="A23" s="5" t="s">
        <v>3114</v>
      </c>
      <c r="B23" s="5" t="s">
        <v>3115</v>
      </c>
    </row>
    <row r="24" spans="1:2" ht="11.25" customHeight="1">
      <c r="A24" s="5" t="s">
        <v>3116</v>
      </c>
      <c r="B24" s="5" t="s">
        <v>3117</v>
      </c>
    </row>
    <row r="25" spans="1:2" ht="11.25" customHeight="1">
      <c r="A25" s="5" t="s">
        <v>3118</v>
      </c>
      <c r="B25" s="5" t="s">
        <v>3119</v>
      </c>
    </row>
    <row r="26" spans="1:2" ht="11.25" customHeight="1">
      <c r="A26" s="5" t="s">
        <v>3120</v>
      </c>
      <c r="B26" s="5" t="s">
        <v>3121</v>
      </c>
    </row>
    <row r="27" spans="1:2" ht="11.25" customHeight="1">
      <c r="A27" s="5" t="s">
        <v>3122</v>
      </c>
      <c r="B27" s="5" t="s">
        <v>3123</v>
      </c>
    </row>
    <row r="28" spans="1:2" ht="11.25" customHeight="1">
      <c r="A28" s="5" t="s">
        <v>3124</v>
      </c>
      <c r="B28" s="5" t="s">
        <v>3125</v>
      </c>
    </row>
    <row r="29" spans="1:2" ht="11.25" customHeight="1">
      <c r="A29" s="5" t="s">
        <v>3126</v>
      </c>
      <c r="B29" s="5" t="s">
        <v>3127</v>
      </c>
    </row>
    <row r="30" spans="1:2" ht="11.25" customHeight="1">
      <c r="A30" s="5" t="s">
        <v>3128</v>
      </c>
      <c r="B30" s="5" t="s">
        <v>3129</v>
      </c>
    </row>
    <row r="31" spans="1:2" ht="11.25" customHeight="1">
      <c r="A31" s="5" t="s">
        <v>3130</v>
      </c>
      <c r="B31" s="5" t="s">
        <v>3131</v>
      </c>
    </row>
    <row r="32" spans="1:2" ht="11.25" customHeight="1">
      <c r="A32" s="5" t="s">
        <v>3132</v>
      </c>
      <c r="B32" s="5" t="s">
        <v>3133</v>
      </c>
    </row>
    <row r="33" spans="1:2" ht="11.25" customHeight="1">
      <c r="A33" s="5" t="s">
        <v>3134</v>
      </c>
      <c r="B33" s="5" t="s">
        <v>3135</v>
      </c>
    </row>
    <row r="34" spans="1:2" ht="11.25" customHeight="1">
      <c r="A34" s="5" t="s">
        <v>3136</v>
      </c>
      <c r="B34" s="5" t="s">
        <v>3137</v>
      </c>
    </row>
    <row r="35" spans="1:2" ht="11.25" customHeight="1">
      <c r="A35" s="5" t="s">
        <v>3138</v>
      </c>
      <c r="B35" s="5" t="s">
        <v>3139</v>
      </c>
    </row>
    <row r="36" spans="1:2" ht="11.25" customHeight="1">
      <c r="A36" s="5" t="s">
        <v>3140</v>
      </c>
      <c r="B36" s="5" t="s">
        <v>3141</v>
      </c>
    </row>
    <row r="37" spans="1:2" ht="11.25" customHeight="1">
      <c r="A37" s="5" t="s">
        <v>3142</v>
      </c>
      <c r="B37" s="5" t="s">
        <v>3143</v>
      </c>
    </row>
    <row r="38" spans="1:2" ht="11.25" customHeight="1">
      <c r="A38" s="5" t="s">
        <v>3144</v>
      </c>
      <c r="B38" s="5" t="s">
        <v>3145</v>
      </c>
    </row>
    <row r="39" spans="1:2" ht="11.25" customHeight="1">
      <c r="A39" s="5" t="s">
        <v>3146</v>
      </c>
      <c r="B39" s="5" t="s">
        <v>3147</v>
      </c>
    </row>
    <row r="40" spans="1:2" ht="11.25" customHeight="1">
      <c r="A40" s="5" t="s">
        <v>3148</v>
      </c>
      <c r="B40" s="5" t="s">
        <v>3149</v>
      </c>
    </row>
    <row r="41" spans="1:2" ht="11.25" customHeight="1">
      <c r="A41" s="5" t="s">
        <v>3150</v>
      </c>
      <c r="B41" s="5" t="s">
        <v>3151</v>
      </c>
    </row>
    <row r="42" spans="1:2" ht="11.25" customHeight="1">
      <c r="A42" s="5" t="s">
        <v>3152</v>
      </c>
      <c r="B42" s="5" t="s">
        <v>3153</v>
      </c>
    </row>
    <row r="43" spans="1:2" ht="11.25" customHeight="1">
      <c r="A43" s="5" t="s">
        <v>3154</v>
      </c>
      <c r="B43" s="5" t="s">
        <v>3155</v>
      </c>
    </row>
    <row r="44" spans="1:2" ht="11.25" customHeight="1">
      <c r="A44" s="5" t="s">
        <v>3156</v>
      </c>
      <c r="B44" s="5" t="s">
        <v>3157</v>
      </c>
    </row>
    <row r="45" spans="1:2" ht="11.25" customHeight="1">
      <c r="A45" s="5" t="s">
        <v>3158</v>
      </c>
      <c r="B45" s="5" t="s">
        <v>3159</v>
      </c>
    </row>
    <row r="46" spans="1:2" ht="11.25" customHeight="1">
      <c r="A46" s="5" t="s">
        <v>3160</v>
      </c>
      <c r="B46" s="5" t="s">
        <v>3161</v>
      </c>
    </row>
    <row r="47" spans="1:2" ht="11.25" customHeight="1">
      <c r="A47" s="5" t="s">
        <v>3162</v>
      </c>
      <c r="B47" s="5" t="s">
        <v>3163</v>
      </c>
    </row>
    <row r="48" spans="1:2" ht="11.25" customHeight="1">
      <c r="A48" s="5" t="s">
        <v>3164</v>
      </c>
      <c r="B48" s="5" t="s">
        <v>3165</v>
      </c>
    </row>
    <row r="49" spans="1:2" ht="11.25" customHeight="1">
      <c r="A49" s="5" t="s">
        <v>3166</v>
      </c>
      <c r="B49" s="5" t="s">
        <v>3167</v>
      </c>
    </row>
    <row r="50" spans="1:2" ht="11.25" customHeight="1">
      <c r="A50" s="5" t="s">
        <v>3168</v>
      </c>
      <c r="B50" s="5" t="s">
        <v>3169</v>
      </c>
    </row>
    <row r="51" spans="1:2" ht="11.25" customHeight="1">
      <c r="A51" s="5" t="s">
        <v>3170</v>
      </c>
      <c r="B51" s="5" t="s">
        <v>3171</v>
      </c>
    </row>
    <row r="52" spans="1:2" ht="11.25" customHeight="1">
      <c r="A52" s="5" t="s">
        <v>3172</v>
      </c>
      <c r="B52" s="5" t="s">
        <v>3173</v>
      </c>
    </row>
    <row r="53" spans="1:2" ht="11.25" customHeight="1">
      <c r="A53" s="5" t="s">
        <v>3174</v>
      </c>
      <c r="B53" s="5" t="s">
        <v>3175</v>
      </c>
    </row>
    <row r="54" spans="1:2" ht="11.25" customHeight="1">
      <c r="A54" s="5" t="s">
        <v>3176</v>
      </c>
      <c r="B54" s="5" t="s">
        <v>3177</v>
      </c>
    </row>
    <row r="55" spans="1:2" ht="11.25" customHeight="1">
      <c r="A55" s="5" t="s">
        <v>3178</v>
      </c>
      <c r="B55" s="5" t="s">
        <v>3179</v>
      </c>
    </row>
    <row r="56" spans="1:2" ht="11.25" customHeight="1">
      <c r="A56" s="5" t="s">
        <v>3180</v>
      </c>
      <c r="B56" s="5" t="s">
        <v>3181</v>
      </c>
    </row>
    <row r="57" spans="1:2" ht="11.25" customHeight="1">
      <c r="A57" s="5" t="s">
        <v>3182</v>
      </c>
      <c r="B57" s="5" t="s">
        <v>3183</v>
      </c>
    </row>
    <row r="58" spans="1:2" ht="11.25" customHeight="1">
      <c r="A58" s="5" t="s">
        <v>3184</v>
      </c>
      <c r="B58" s="5" t="s">
        <v>3185</v>
      </c>
    </row>
    <row r="59" spans="1:2" ht="11.25" customHeight="1">
      <c r="A59" s="5" t="s">
        <v>3186</v>
      </c>
      <c r="B59" s="5" t="s">
        <v>3187</v>
      </c>
    </row>
    <row r="60" spans="1:2" ht="11.25" customHeight="1">
      <c r="A60" s="5" t="s">
        <v>3188</v>
      </c>
      <c r="B60" s="5" t="s">
        <v>3189</v>
      </c>
    </row>
    <row r="61" spans="1:2" ht="11.25" customHeight="1">
      <c r="A61" s="5"/>
      <c r="B61" s="5" t="s">
        <v>3190</v>
      </c>
    </row>
    <row r="62" spans="1:2" ht="11.25" customHeight="1">
      <c r="A62" s="5"/>
      <c r="B62" s="5" t="s">
        <v>3191</v>
      </c>
    </row>
    <row r="63" spans="1:2" ht="11.25" customHeight="1">
      <c r="A63" s="5"/>
      <c r="B63" s="5" t="s">
        <v>3192</v>
      </c>
    </row>
    <row r="64" spans="1:2" ht="11.25" customHeight="1">
      <c r="A64" s="5"/>
      <c r="B64" s="5" t="s">
        <v>3193</v>
      </c>
    </row>
    <row r="65" spans="1:2" ht="11.25" customHeight="1">
      <c r="A65" s="5"/>
      <c r="B65" s="5" t="s">
        <v>3194</v>
      </c>
    </row>
    <row r="66" spans="1:2" ht="11.25" customHeight="1">
      <c r="A66" s="5"/>
      <c r="B66" s="5" t="s">
        <v>3195</v>
      </c>
    </row>
    <row r="67" spans="1:2" ht="11.25" customHeight="1">
      <c r="A67" s="5"/>
      <c r="B67" s="5" t="s">
        <v>3196</v>
      </c>
    </row>
    <row r="68" spans="1:2" ht="11.25" customHeight="1">
      <c r="A68" s="5"/>
      <c r="B68" s="5" t="s">
        <v>3197</v>
      </c>
    </row>
    <row r="69" spans="1:2" ht="11.25" customHeight="1">
      <c r="A69" s="5"/>
      <c r="B69" s="5" t="s">
        <v>3198</v>
      </c>
    </row>
    <row r="70" spans="1:2" ht="11.25" customHeight="1">
      <c r="A70" s="5"/>
      <c r="B70" s="5" t="s">
        <v>3199</v>
      </c>
    </row>
    <row r="71" spans="1:2" ht="11.25" customHeight="1">
      <c r="A71" s="5"/>
      <c r="B71" s="5"/>
    </row>
    <row r="72" spans="1:2" ht="11.25" customHeight="1">
      <c r="A72" s="5"/>
      <c r="B72" s="5"/>
    </row>
    <row r="73" spans="1:2" ht="11.25" customHeight="1">
      <c r="A73" s="5"/>
      <c r="B73" s="5"/>
    </row>
    <row r="74" spans="1:2" ht="11.25" customHeight="1">
      <c r="A74" s="5"/>
      <c r="B74" s="5"/>
    </row>
    <row r="75" spans="1:2" ht="11.25" customHeight="1">
      <c r="A75" s="5"/>
      <c r="B75" s="5"/>
    </row>
    <row r="76" spans="1:2" ht="11.25" customHeight="1">
      <c r="A76" s="5"/>
      <c r="B76" s="5"/>
    </row>
    <row r="77" spans="1:2" ht="11.25" customHeight="1">
      <c r="A77" s="5"/>
      <c r="B77" s="5"/>
    </row>
    <row r="78" spans="1:2" ht="11.25" customHeight="1">
      <c r="A78" s="5"/>
      <c r="B78" s="5"/>
    </row>
    <row r="79" spans="1:2" ht="11.25" customHeight="1">
      <c r="A79" s="5"/>
      <c r="B79" s="5"/>
    </row>
    <row r="80" spans="1:2" ht="11.25" customHeight="1">
      <c r="A80" s="5"/>
      <c r="B80" s="5"/>
    </row>
    <row r="81" spans="1:2" ht="11.25" customHeight="1">
      <c r="A81" s="5"/>
      <c r="B81" s="5"/>
    </row>
    <row r="82" spans="1:2" ht="11.25" customHeight="1">
      <c r="A82" s="5"/>
      <c r="B82" s="5"/>
    </row>
    <row r="83" spans="1:2" ht="11.25" customHeight="1">
      <c r="A83" s="5"/>
      <c r="B83" s="5"/>
    </row>
    <row r="84" spans="1:2" ht="11.25" customHeight="1">
      <c r="A84" s="5"/>
      <c r="B84" s="5"/>
    </row>
    <row r="85" spans="1:2" ht="11.25" customHeight="1">
      <c r="A85" s="5"/>
      <c r="B85" s="5"/>
    </row>
    <row r="86" spans="1:2" ht="11.25" customHeight="1">
      <c r="A86" s="5"/>
      <c r="B86" s="5"/>
    </row>
    <row r="87" spans="1:2" ht="11.25" customHeight="1">
      <c r="A87" s="5"/>
      <c r="B87" s="5"/>
    </row>
    <row r="88" spans="1:2" ht="11.25" customHeight="1">
      <c r="A88" s="5"/>
      <c r="B88" s="5"/>
    </row>
    <row r="89" spans="1:2" ht="11.25" customHeight="1">
      <c r="A89" s="5"/>
      <c r="B89" s="5"/>
    </row>
    <row r="90" spans="1:2" ht="11.25" customHeight="1">
      <c r="A90" s="5"/>
      <c r="B90" s="5"/>
    </row>
    <row r="91" spans="1:2" ht="11.25" customHeight="1">
      <c r="A91" s="5"/>
      <c r="B91" s="5"/>
    </row>
    <row r="92" spans="1:2" ht="11.25" customHeight="1">
      <c r="A92" s="5"/>
      <c r="B92" s="5"/>
    </row>
    <row r="93" spans="1:2" ht="11.25" customHeight="1">
      <c r="A93" s="5"/>
      <c r="B93" s="5"/>
    </row>
    <row r="94" spans="1:2" ht="11.25" customHeight="1">
      <c r="A94" s="5"/>
      <c r="B94" s="5"/>
    </row>
    <row r="95" spans="1:2" ht="11.25" customHeight="1">
      <c r="A95" s="5"/>
      <c r="B95" s="5"/>
    </row>
    <row r="96" spans="1:2" ht="11.25" customHeight="1">
      <c r="A96" s="5"/>
      <c r="B96" s="5"/>
    </row>
    <row r="97" spans="1:2" ht="11.25" customHeight="1">
      <c r="A97" s="5"/>
      <c r="B97" s="5"/>
    </row>
    <row r="98" spans="1:2" ht="11.25" customHeight="1">
      <c r="A98" s="5"/>
      <c r="B98" s="5"/>
    </row>
    <row r="99" spans="1:2" ht="11.25" customHeight="1">
      <c r="A99" s="5"/>
      <c r="B99" s="5"/>
    </row>
    <row r="100" spans="1:2" ht="11.25" customHeight="1">
      <c r="A100" s="5"/>
      <c r="B100" s="5"/>
    </row>
    <row r="101" spans="1:2" ht="11.25" customHeight="1">
      <c r="A101" s="5"/>
      <c r="B101" s="5"/>
    </row>
    <row r="102" spans="1:2" ht="11.25" customHeight="1">
      <c r="A102" s="5"/>
      <c r="B102" s="5"/>
    </row>
    <row r="103" spans="1:2" ht="11.25" customHeight="1">
      <c r="A103" s="5"/>
      <c r="B103" s="5"/>
    </row>
    <row r="104" spans="1:2" ht="11.25" customHeight="1">
      <c r="A104" s="5"/>
      <c r="B104" s="5"/>
    </row>
    <row r="105" spans="1:2" ht="11.25" customHeight="1">
      <c r="A105" s="5"/>
      <c r="B105" s="5"/>
    </row>
    <row r="106" spans="1:2" ht="11.25" customHeight="1">
      <c r="A106" s="5"/>
      <c r="B106" s="5"/>
    </row>
    <row r="107" spans="1:2" ht="11.25" customHeight="1">
      <c r="A107" s="5"/>
      <c r="B107" s="5"/>
    </row>
    <row r="108" spans="1:2" ht="11.25" customHeight="1">
      <c r="A108" s="5"/>
      <c r="B108" s="5"/>
    </row>
    <row r="109" spans="1:2" ht="11.25" customHeight="1">
      <c r="A109" s="5"/>
      <c r="B109" s="5"/>
    </row>
    <row r="110" spans="1:2" ht="11.25" customHeight="1">
      <c r="A110" s="5"/>
      <c r="B110" s="5"/>
    </row>
    <row r="111" spans="1:2" ht="11.25" customHeight="1">
      <c r="A111" s="5"/>
      <c r="B111" s="5"/>
    </row>
    <row r="112" spans="1:2" ht="11.25" customHeight="1">
      <c r="A112" s="5"/>
      <c r="B112" s="5"/>
    </row>
    <row r="113" spans="1:2" ht="11.25" customHeight="1">
      <c r="A113" s="5"/>
      <c r="B113" s="5"/>
    </row>
    <row r="114" spans="1:2" ht="11.25" customHeight="1">
      <c r="A114" s="5"/>
      <c r="B114" s="5"/>
    </row>
    <row r="115" spans="1:2" ht="11.25" customHeight="1">
      <c r="A115" s="5"/>
      <c r="B115" s="5"/>
    </row>
    <row r="116" spans="1:2" ht="11.25" customHeight="1">
      <c r="A116" s="5"/>
      <c r="B116" s="5"/>
    </row>
    <row r="117" spans="1:2" ht="11.25" customHeight="1">
      <c r="A117" s="5"/>
      <c r="B117" s="5"/>
    </row>
    <row r="118" spans="1:2" ht="11.25" customHeight="1">
      <c r="A118" s="5"/>
      <c r="B118" s="5"/>
    </row>
    <row r="119" spans="1:2" ht="11.25" customHeight="1">
      <c r="A119" s="5"/>
      <c r="B119" s="5"/>
    </row>
    <row r="120" spans="1:2" ht="11.25" customHeight="1">
      <c r="A120" s="5"/>
      <c r="B120" s="5"/>
    </row>
    <row r="121" spans="1:2" ht="11.25" customHeight="1">
      <c r="A121" s="5"/>
      <c r="B121" s="5"/>
    </row>
    <row r="122" spans="1:2" ht="11.25" customHeight="1">
      <c r="A122" s="5"/>
      <c r="B122" s="5"/>
    </row>
    <row r="123" spans="1:2" ht="11.25" customHeight="1">
      <c r="A123" s="5"/>
      <c r="B123" s="5"/>
    </row>
    <row r="124" spans="1:2" ht="11.25" customHeight="1">
      <c r="A124" s="5"/>
      <c r="B124" s="5"/>
    </row>
    <row r="125" spans="1:2" ht="11.25" customHeight="1">
      <c r="A125" s="5"/>
      <c r="B125" s="5"/>
    </row>
    <row r="126" spans="1:2" ht="11.25" customHeight="1">
      <c r="A126" s="5"/>
      <c r="B126" s="5"/>
    </row>
    <row r="127" spans="1:2" ht="11.25" customHeight="1">
      <c r="A127" s="5"/>
      <c r="B127" s="5"/>
    </row>
    <row r="128" spans="1:2" ht="11.25" customHeight="1">
      <c r="A128" s="5"/>
      <c r="B128" s="5"/>
    </row>
    <row r="129" spans="1:2" ht="11.25" customHeight="1">
      <c r="A129" s="5"/>
      <c r="B129" s="5"/>
    </row>
    <row r="130" spans="1:2" ht="11.25" customHeight="1">
      <c r="A130" s="5"/>
      <c r="B130" s="5"/>
    </row>
    <row r="131" spans="1:2" ht="11.25" customHeight="1">
      <c r="A131" s="5"/>
      <c r="B131" s="5"/>
    </row>
    <row r="132" spans="1:2" ht="11.25" customHeight="1">
      <c r="A132" s="5"/>
      <c r="B132" s="5"/>
    </row>
    <row r="133" spans="1:2" ht="11.25" customHeight="1">
      <c r="A133" s="5"/>
      <c r="B133" s="5"/>
    </row>
    <row r="134" spans="1:2" ht="11.25" customHeight="1">
      <c r="A134" s="5"/>
      <c r="B134" s="5"/>
    </row>
    <row r="135" spans="1:2" ht="11.25" customHeight="1">
      <c r="A135" s="5"/>
      <c r="B135" s="5"/>
    </row>
    <row r="136" spans="1:2" ht="11.25" customHeight="1">
      <c r="A136" s="5"/>
      <c r="B136" s="5"/>
    </row>
    <row r="137" spans="1:2" ht="11.25" customHeight="1">
      <c r="A137" s="5"/>
      <c r="B137" s="5"/>
    </row>
    <row r="138" spans="1:2" ht="11.25" customHeight="1">
      <c r="A138" s="5"/>
      <c r="B138" s="5"/>
    </row>
    <row r="139" spans="1:2" ht="11.25" customHeight="1">
      <c r="A139" s="5"/>
      <c r="B139" s="5"/>
    </row>
    <row r="140" spans="1:2" ht="11.25" customHeight="1">
      <c r="A140" s="5"/>
      <c r="B140" s="5"/>
    </row>
    <row r="141" spans="1:2" ht="11.25" customHeight="1">
      <c r="A141" s="5"/>
      <c r="B141" s="5"/>
    </row>
    <row r="142" spans="1:2" ht="11.25" customHeight="1">
      <c r="A142" s="5"/>
      <c r="B142" s="5"/>
    </row>
    <row r="143" spans="1:2" ht="11.25" customHeight="1">
      <c r="A143" s="5"/>
      <c r="B143" s="5"/>
    </row>
    <row r="144" spans="1:2" ht="11.25" customHeight="1">
      <c r="A144" s="5"/>
      <c r="B144" s="5"/>
    </row>
    <row r="145" spans="1:2" ht="11.25" customHeight="1">
      <c r="A145" s="5"/>
      <c r="B145" s="5"/>
    </row>
    <row r="146" spans="1:2" ht="11.25" customHeight="1">
      <c r="A146" s="5"/>
      <c r="B146" s="5"/>
    </row>
    <row r="147" spans="1:2" ht="11.25" customHeight="1">
      <c r="A147" s="5"/>
      <c r="B147" s="5"/>
    </row>
    <row r="148" spans="1:2" ht="11.25" customHeight="1">
      <c r="A148" s="5"/>
      <c r="B148" s="5"/>
    </row>
    <row r="149" spans="1:2" ht="11.25" customHeight="1">
      <c r="A149" s="5"/>
      <c r="B149" s="5"/>
    </row>
    <row r="150" spans="1:2" ht="11.25" customHeight="1">
      <c r="A150" s="5"/>
      <c r="B150" s="5"/>
    </row>
    <row r="151" spans="1:2" ht="11.25" customHeight="1">
      <c r="A151" s="5"/>
      <c r="B151" s="5"/>
    </row>
    <row r="152" spans="1:2" ht="11.25" customHeight="1">
      <c r="A152" s="5"/>
      <c r="B152" s="5"/>
    </row>
    <row r="153" spans="1:2" ht="11.25" customHeight="1">
      <c r="A153" s="5"/>
      <c r="B153" s="5"/>
    </row>
    <row r="154" spans="1:2" ht="11.25" customHeight="1">
      <c r="A154" s="5"/>
      <c r="B154" s="5"/>
    </row>
    <row r="155" spans="1:2" ht="11.25" customHeight="1">
      <c r="A155" s="5"/>
      <c r="B155" s="5"/>
    </row>
    <row r="156" spans="1:2" ht="11.25" customHeight="1">
      <c r="A156" s="5"/>
      <c r="B156" s="5"/>
    </row>
    <row r="157" spans="1:2" ht="11.25" customHeight="1">
      <c r="A157" s="5"/>
      <c r="B157" s="5"/>
    </row>
    <row r="158" spans="1:2" ht="11.25" customHeight="1">
      <c r="A158" s="5"/>
      <c r="B158" s="5"/>
    </row>
    <row r="159" spans="1:2" ht="11.25" customHeight="1">
      <c r="A159" s="5"/>
      <c r="B159" s="5"/>
    </row>
    <row r="160" spans="1:2" ht="11.25" customHeight="1">
      <c r="A160" s="5"/>
      <c r="B160" s="5"/>
    </row>
    <row r="161" spans="1:2" ht="11.25" customHeight="1">
      <c r="A161" s="5"/>
      <c r="B161" s="5"/>
    </row>
    <row r="162" spans="1:2" ht="11.25" customHeight="1">
      <c r="A162" s="5"/>
      <c r="B162" s="5"/>
    </row>
    <row r="163" spans="1:2" ht="11.25" customHeight="1">
      <c r="A163" s="5"/>
      <c r="B163" s="5"/>
    </row>
    <row r="164" spans="1:2" ht="11.25" customHeight="1">
      <c r="A164" s="5"/>
      <c r="B164" s="5"/>
    </row>
    <row r="165" spans="1:2" ht="11.25" customHeight="1">
      <c r="A165" s="5"/>
      <c r="B165" s="5"/>
    </row>
    <row r="166" spans="1:2" ht="11.25" customHeight="1">
      <c r="A166" s="5"/>
      <c r="B166" s="5"/>
    </row>
    <row r="167" spans="1:2" ht="11.25" customHeight="1">
      <c r="A167" s="5"/>
      <c r="B167" s="5"/>
    </row>
    <row r="168" spans="1:2" ht="11.25" customHeight="1">
      <c r="A168" s="5"/>
      <c r="B168" s="5"/>
    </row>
    <row r="169" spans="1:2" ht="11.25" customHeight="1">
      <c r="A169" s="5"/>
      <c r="B169" s="5"/>
    </row>
    <row r="170" spans="1:2" ht="11.25" customHeight="1">
      <c r="A170" s="5"/>
      <c r="B170" s="5"/>
    </row>
    <row r="171" spans="1:2" ht="11.25" customHeight="1">
      <c r="A171" s="5"/>
      <c r="B171" s="5"/>
    </row>
    <row r="172" spans="1:2" ht="11.25" customHeight="1">
      <c r="A172" s="5"/>
      <c r="B172" s="5"/>
    </row>
    <row r="173" spans="1:2" ht="11.25" customHeight="1">
      <c r="A173" s="5"/>
      <c r="B173" s="5"/>
    </row>
    <row r="174" spans="1:2" ht="11.25" customHeight="1">
      <c r="A174" s="5"/>
      <c r="B174" s="5"/>
    </row>
    <row r="175" spans="1:2" ht="11.25" customHeight="1">
      <c r="A175" s="5"/>
      <c r="B175" s="5"/>
    </row>
    <row r="176" spans="1:2" ht="11.25" customHeight="1">
      <c r="A176" s="5"/>
      <c r="B176" s="5"/>
    </row>
    <row r="177" spans="1:2" ht="11.25" customHeight="1">
      <c r="A177" s="5"/>
      <c r="B177" s="5"/>
    </row>
    <row r="178" spans="1:2" ht="11.25" customHeight="1">
      <c r="A178" s="5"/>
      <c r="B178" s="5"/>
    </row>
    <row r="179" spans="1:2" ht="11.25" customHeight="1">
      <c r="A179" s="5"/>
      <c r="B179" s="5"/>
    </row>
    <row r="180" spans="1:2" ht="11.25" customHeight="1">
      <c r="A180" s="5"/>
      <c r="B180" s="5"/>
    </row>
    <row r="181" spans="1:2" ht="11.25" customHeight="1">
      <c r="A181" s="5"/>
      <c r="B181" s="5"/>
    </row>
    <row r="182" spans="1:2" ht="11.25" customHeight="1">
      <c r="A182" s="5"/>
      <c r="B182" s="5"/>
    </row>
    <row r="183" spans="1:2" ht="11.25" customHeight="1">
      <c r="A183" s="5"/>
      <c r="B183" s="5"/>
    </row>
    <row r="184" spans="1:2" ht="11.25" customHeight="1">
      <c r="A184" s="5"/>
      <c r="B184" s="5"/>
    </row>
    <row r="185" spans="1:2" ht="11.25" customHeight="1">
      <c r="A185" s="5"/>
      <c r="B185" s="5"/>
    </row>
    <row r="186" spans="1:2" ht="11.25" customHeight="1">
      <c r="A186" s="5"/>
      <c r="B186" s="5"/>
    </row>
    <row r="187" spans="1:2" ht="11.25" customHeight="1">
      <c r="A187" s="5"/>
      <c r="B187" s="5"/>
    </row>
    <row r="188" spans="1:2" ht="11.25" customHeight="1">
      <c r="A188" s="5"/>
      <c r="B188" s="5"/>
    </row>
    <row r="189" spans="1:2" ht="11.25" customHeight="1">
      <c r="A189" s="5"/>
      <c r="B189" s="5"/>
    </row>
    <row r="190" spans="1:2" ht="11.25" customHeight="1">
      <c r="A190" s="5"/>
      <c r="B190" s="5"/>
    </row>
    <row r="191" spans="1:2" ht="11.25" customHeight="1">
      <c r="A191" s="5"/>
      <c r="B191" s="5"/>
    </row>
    <row r="192" spans="1:2" ht="11.25" customHeight="1">
      <c r="A192" s="5"/>
      <c r="B192" s="5"/>
    </row>
    <row r="193" spans="1:2" ht="11.25" customHeight="1">
      <c r="A193" s="5"/>
      <c r="B193" s="5"/>
    </row>
    <row r="194" spans="1:2" ht="11.25" customHeight="1">
      <c r="A194" s="5"/>
      <c r="B194" s="5"/>
    </row>
    <row r="195" spans="1:2" ht="11.25" customHeight="1">
      <c r="A195" s="5"/>
      <c r="B195" s="5"/>
    </row>
    <row r="196" spans="1:2" ht="11.25" customHeight="1">
      <c r="A196" s="5"/>
      <c r="B196" s="5"/>
    </row>
    <row r="197" spans="1:2" ht="11.25" customHeight="1">
      <c r="A197" s="5"/>
      <c r="B197" s="5"/>
    </row>
    <row r="198" spans="1:2" ht="11.25" customHeight="1">
      <c r="A198" s="5"/>
      <c r="B198" s="5"/>
    </row>
    <row r="199" spans="1:2" ht="11.25" customHeight="1">
      <c r="A199" s="5"/>
      <c r="B199" s="5"/>
    </row>
    <row r="200" spans="1:2" ht="11.25" customHeight="1">
      <c r="A200" s="5"/>
      <c r="B200" s="5"/>
    </row>
    <row r="201" spans="1:2" ht="11.25" customHeight="1">
      <c r="A201" s="5"/>
      <c r="B201" s="5"/>
    </row>
    <row r="202" spans="1:2" ht="11.25" customHeight="1">
      <c r="A202" s="5"/>
      <c r="B202" s="5"/>
    </row>
    <row r="203" spans="1:2" ht="11.25" customHeight="1">
      <c r="A203" s="5"/>
      <c r="B203" s="5"/>
    </row>
    <row r="204" spans="1:2" ht="11.25" customHeight="1">
      <c r="A204" s="5"/>
      <c r="B204" s="5"/>
    </row>
    <row r="205" spans="1:2" ht="11.25" customHeight="1">
      <c r="A205" s="5"/>
      <c r="B205" s="5"/>
    </row>
    <row r="206" spans="1:2" ht="11.25" customHeight="1">
      <c r="A206" s="5"/>
      <c r="B206" s="5"/>
    </row>
    <row r="207" spans="1:2" ht="11.25" customHeight="1">
      <c r="A207" s="5"/>
      <c r="B207" s="5"/>
    </row>
    <row r="208" spans="1:2" ht="11.25" customHeight="1">
      <c r="A208" s="5"/>
      <c r="B208" s="5"/>
    </row>
    <row r="209" spans="1:2" ht="11.25" customHeight="1">
      <c r="A209" s="5"/>
      <c r="B209" s="5"/>
    </row>
    <row r="210" spans="1:2" ht="11.25" customHeight="1">
      <c r="A210" s="5"/>
      <c r="B210" s="5"/>
    </row>
    <row r="211" spans="1:2" ht="11.25" customHeight="1">
      <c r="A211" s="5"/>
      <c r="B211" s="5"/>
    </row>
    <row r="212" spans="1:2" ht="11.25" customHeight="1">
      <c r="A212" s="5"/>
      <c r="B212" s="5"/>
    </row>
    <row r="213" spans="1:2" ht="11.25" customHeight="1">
      <c r="A213" s="5"/>
      <c r="B213" s="5"/>
    </row>
    <row r="214" spans="1:2" ht="11.25" customHeight="1">
      <c r="A214" s="5"/>
      <c r="B214" s="5"/>
    </row>
    <row r="215" spans="1:2" ht="11.25" customHeight="1">
      <c r="A215" s="5"/>
      <c r="B215" s="5"/>
    </row>
    <row r="216" spans="1:2" ht="11.25" customHeight="1">
      <c r="A216" s="5"/>
      <c r="B216" s="5"/>
    </row>
    <row r="217" spans="1:2" ht="11.25" customHeight="1">
      <c r="A217" s="5"/>
      <c r="B217" s="5"/>
    </row>
    <row r="218" spans="1:2" ht="11.25" customHeight="1">
      <c r="A218" s="5"/>
      <c r="B218" s="5"/>
    </row>
    <row r="219" spans="1:2" ht="11.25" customHeight="1">
      <c r="A219" s="5"/>
      <c r="B219" s="5"/>
    </row>
    <row r="220" spans="1:2" ht="11.25" customHeight="1">
      <c r="A220" s="5"/>
      <c r="B220" s="5"/>
    </row>
    <row r="221" spans="1:2" ht="11.25" customHeight="1">
      <c r="A221" s="5"/>
      <c r="B221" s="5"/>
    </row>
    <row r="222" spans="1:2" ht="11.25" customHeight="1">
      <c r="A222" s="5"/>
      <c r="B222" s="5"/>
    </row>
    <row r="223" spans="1:2" ht="11.25" customHeight="1">
      <c r="A223" s="5"/>
      <c r="B223" s="5"/>
    </row>
    <row r="224" spans="1:2" ht="11.25" customHeight="1">
      <c r="A224" s="5"/>
      <c r="B224" s="5"/>
    </row>
    <row r="225" spans="1:2" ht="11.25" customHeight="1">
      <c r="A225" s="5"/>
      <c r="B225" s="5"/>
    </row>
    <row r="226" spans="1:2" ht="11.25" customHeight="1">
      <c r="A226" s="5"/>
      <c r="B226" s="5"/>
    </row>
    <row r="227" spans="1:2" ht="11.25" customHeight="1">
      <c r="A227" s="5"/>
      <c r="B227" s="5"/>
    </row>
    <row r="228" spans="1:2" ht="11.25" customHeight="1">
      <c r="A228" s="5"/>
      <c r="B228" s="5"/>
    </row>
    <row r="229" spans="1:2" ht="11.25" customHeight="1">
      <c r="A229" s="5"/>
      <c r="B229" s="5"/>
    </row>
    <row r="230" spans="1:2" ht="11.25" customHeight="1">
      <c r="A230" s="5"/>
      <c r="B230" s="5"/>
    </row>
    <row r="231" spans="1:2" ht="11.25" customHeight="1">
      <c r="A231" s="5"/>
      <c r="B231" s="5"/>
    </row>
    <row r="232" spans="1:2" ht="11.25" customHeight="1">
      <c r="A232" s="5"/>
      <c r="B232" s="5"/>
    </row>
    <row r="233" spans="1:2" ht="11.25" customHeight="1">
      <c r="A233" s="5"/>
      <c r="B233" s="5"/>
    </row>
    <row r="234" spans="1:2" ht="11.25" customHeight="1">
      <c r="A234" s="5"/>
      <c r="B234" s="5"/>
    </row>
    <row r="235" spans="1:2" ht="11.25" customHeight="1">
      <c r="A235" s="5"/>
      <c r="B235" s="5"/>
    </row>
    <row r="236" spans="1:2" ht="11.25" customHeight="1">
      <c r="A236" s="5"/>
      <c r="B236" s="5"/>
    </row>
    <row r="237" spans="1:2" ht="11.25" customHeight="1">
      <c r="A237" s="5"/>
      <c r="B237" s="5"/>
    </row>
    <row r="238" spans="1:2" ht="11.25" customHeight="1">
      <c r="A238" s="5"/>
      <c r="B238" s="5"/>
    </row>
    <row r="239" spans="1:2" ht="11.25" customHeight="1">
      <c r="A239" s="5"/>
      <c r="B239" s="5"/>
    </row>
    <row r="240" spans="1:2" ht="11.25" customHeight="1">
      <c r="A240" s="5"/>
      <c r="B240" s="5"/>
    </row>
    <row r="241" spans="1:2" ht="11.25" customHeight="1">
      <c r="A241" s="5"/>
      <c r="B241" s="5"/>
    </row>
    <row r="242" spans="1:2" ht="11.25" customHeight="1">
      <c r="A242" s="5"/>
      <c r="B242" s="5"/>
    </row>
    <row r="243" spans="1:2" ht="11.25" customHeight="1">
      <c r="A243" s="5"/>
      <c r="B243" s="5"/>
    </row>
    <row r="244" spans="1:2" ht="11.25" customHeight="1">
      <c r="A244" s="5"/>
      <c r="B244" s="5"/>
    </row>
    <row r="245" spans="1:2" ht="11.25" customHeight="1">
      <c r="A245" s="5"/>
      <c r="B245" s="5"/>
    </row>
    <row r="246" spans="1:2" ht="11.25" customHeight="1">
      <c r="A246" s="5"/>
      <c r="B246" s="5"/>
    </row>
    <row r="247" spans="1:2" ht="11.25" customHeight="1">
      <c r="A247" s="5"/>
      <c r="B247" s="5"/>
    </row>
    <row r="248" spans="1:2" ht="11.25" customHeight="1">
      <c r="A248" s="5"/>
      <c r="B248" s="5"/>
    </row>
    <row r="249" spans="1:2" ht="11.25" customHeight="1">
      <c r="A249" s="5"/>
      <c r="B249" s="5"/>
    </row>
    <row r="250" spans="1:2" ht="11.25" customHeight="1">
      <c r="A250" s="5"/>
      <c r="B250" s="5"/>
    </row>
    <row r="251" spans="1:2" ht="11.25" customHeight="1">
      <c r="A251" s="5"/>
      <c r="B251" s="5"/>
    </row>
    <row r="252" spans="1:2" ht="11.25" customHeight="1">
      <c r="A252" s="5"/>
      <c r="B252" s="5"/>
    </row>
    <row r="253" spans="1:2" ht="11.25" customHeight="1">
      <c r="A253" s="5"/>
      <c r="B253" s="5"/>
    </row>
  </sheetData>
  <sheetProtection formatColumns="0" formatRows="0" insertRows="0" deleteColumns="0" deleteRows="0" sort="0" autoFilter="0"/>
  <pageMargins left="0.75" right="0.75" top="1" bottom="1" header="0.5" footer="0.5"/>
  <pageSetup paperSize="9" orientation="portrait"/>
  <headerFooter>
    <oddHeader>&amp;L&amp;C&amp;R</oddHeader>
    <oddFooter>&amp;L&amp;C&amp;R</oddFooter>
    <evenHeader>&amp;L&amp;C&amp;R</evenHeader>
    <evenFooter>&amp;L&amp;C&amp;R</evenFooter>
  </headerFooter>
</worksheet>
</file>

<file path=xl/worksheets/sheet8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C99"/>
  </sheetPr>
  <dimension ref="A1:D36"/>
  <sheetViews>
    <sheetView showGridLines="0" workbookViewId="0"/>
  </sheetViews>
  <sheetFormatPr defaultColWidth="9.140625" defaultRowHeight="11.25" customHeight="1"/>
  <cols>
    <col min="1" max="1" width="3.7109375" style="1969" customWidth="1"/>
    <col min="2" max="2" width="90.7109375" style="1969" customWidth="1"/>
    <col min="3" max="4" width="9.140625" style="1969"/>
  </cols>
  <sheetData>
    <row r="1" spans="2:4" ht="11.25" customHeight="1">
      <c r="B1" s="31" t="s">
        <v>3200</v>
      </c>
    </row>
    <row r="2" spans="2:4" ht="90" customHeight="1">
      <c r="B2" s="32" t="s">
        <v>3201</v>
      </c>
    </row>
    <row r="3" spans="2:4" ht="67.5" customHeight="1">
      <c r="B3" s="32" t="s">
        <v>3202</v>
      </c>
    </row>
    <row r="4" spans="2:4" ht="33.75" customHeight="1">
      <c r="B4" s="32" t="s">
        <v>3203</v>
      </c>
    </row>
    <row r="5" spans="2:4" ht="11.25" customHeight="1">
      <c r="B5" s="32" t="s">
        <v>3204</v>
      </c>
    </row>
    <row r="6" spans="2:4" ht="22.5" customHeight="1">
      <c r="B6" s="32" t="s">
        <v>3205</v>
      </c>
    </row>
    <row r="7" spans="2:4" ht="22.5" customHeight="1">
      <c r="B7" s="32" t="s">
        <v>3206</v>
      </c>
    </row>
    <row r="8" spans="2:4" ht="22.5" customHeight="1">
      <c r="B8" s="32" t="s">
        <v>3207</v>
      </c>
    </row>
    <row r="9" spans="2:4" ht="22.5" customHeight="1">
      <c r="B9" s="32" t="s">
        <v>3208</v>
      </c>
    </row>
    <row r="10" spans="2:4" ht="56.25" customHeight="1">
      <c r="B10" s="32" t="s">
        <v>3209</v>
      </c>
    </row>
    <row r="11" spans="2:4" ht="12.75" customHeight="1">
      <c r="B11" s="88" t="s">
        <v>3210</v>
      </c>
    </row>
    <row r="12" spans="2:4" ht="11.25" customHeight="1">
      <c r="B12" s="31" t="s">
        <v>3211</v>
      </c>
    </row>
    <row r="13" spans="2:4" ht="22.5" customHeight="1">
      <c r="B13" s="32" t="s">
        <v>3212</v>
      </c>
    </row>
    <row r="14" spans="2:4" ht="67.5" customHeight="1">
      <c r="B14" s="32" t="s">
        <v>3213</v>
      </c>
    </row>
    <row r="15" spans="2:4" ht="22.5" customHeight="1">
      <c r="B15" s="32" t="s">
        <v>3214</v>
      </c>
    </row>
    <row r="16" spans="2:4" ht="11.25" customHeight="1">
      <c r="B16" s="31" t="s">
        <v>3215</v>
      </c>
      <c r="D16" s="38"/>
    </row>
    <row r="17" spans="1:2" ht="33.75" customHeight="1">
      <c r="B17" s="32" t="s">
        <v>3216</v>
      </c>
    </row>
    <row r="18" spans="1:2" ht="33.75" customHeight="1">
      <c r="B18" s="32" t="s">
        <v>3217</v>
      </c>
    </row>
    <row r="19" spans="1:2" ht="11.25" customHeight="1">
      <c r="B19" s="32" t="s">
        <v>3218</v>
      </c>
    </row>
    <row r="20" spans="1:2" ht="33.75" customHeight="1">
      <c r="B20" s="32" t="s">
        <v>3219</v>
      </c>
    </row>
    <row r="21" spans="1:2" ht="11.25" customHeight="1">
      <c r="B21" s="31" t="s">
        <v>3220</v>
      </c>
    </row>
    <row r="22" spans="1:2" ht="11.25" customHeight="1">
      <c r="B22" s="32" t="s">
        <v>3221</v>
      </c>
    </row>
    <row r="24" spans="1:2" ht="22.5" customHeight="1">
      <c r="B24" s="90" t="s">
        <v>3222</v>
      </c>
    </row>
    <row r="26" spans="1:2" ht="11.25" customHeight="1">
      <c r="B26" s="31" t="s">
        <v>3223</v>
      </c>
    </row>
    <row r="27" spans="1:2" ht="22.5" customHeight="1">
      <c r="B27" s="89" t="s">
        <v>1462</v>
      </c>
    </row>
    <row r="28" spans="1:2" ht="56.25" customHeight="1">
      <c r="B28" s="89" t="s">
        <v>3224</v>
      </c>
    </row>
    <row r="29" spans="1:2" ht="11.25" customHeight="1">
      <c r="B29" s="132" t="s">
        <v>3225</v>
      </c>
    </row>
    <row r="30" spans="1:2" ht="22.5" customHeight="1">
      <c r="B30" s="89" t="s">
        <v>3226</v>
      </c>
    </row>
    <row r="32" spans="1:2" ht="11.25" customHeight="1">
      <c r="A32" s="113"/>
      <c r="B32" s="114" t="s">
        <v>3227</v>
      </c>
    </row>
    <row r="33" spans="1:2" ht="14.25" customHeight="1">
      <c r="A33" s="115">
        <v>1</v>
      </c>
      <c r="B33" s="116" t="s">
        <v>3228</v>
      </c>
    </row>
    <row r="34" spans="1:2" ht="14.25" customHeight="1">
      <c r="A34" s="115">
        <v>2</v>
      </c>
      <c r="B34" s="116" t="s">
        <v>3229</v>
      </c>
    </row>
    <row r="35" spans="1:2" ht="11.25" customHeight="1">
      <c r="B35" s="114" t="s">
        <v>3230</v>
      </c>
    </row>
    <row r="36" spans="1:2" ht="11.25" customHeight="1">
      <c r="B36" s="116" t="s">
        <v>3231</v>
      </c>
    </row>
  </sheetData>
  <sheetProtection insertRows="0" deleteColumns="0" deleteRows="0" sort="0" autoFilter="0"/>
  <pageMargins left="0.75" right="0.75" top="1" bottom="1" header="0.5" footer="0.5"/>
  <pageSetup paperSize="9" orientation="portrait"/>
  <headerFooter>
    <oddHeader>&amp;L&amp;C&amp;R</oddHeader>
    <oddFooter>&amp;L&amp;C&amp;R</oddFooter>
    <evenHeader>&amp;L&amp;C&amp;R</evenHeader>
    <evenFooter>&amp;L&amp;C&amp;R</even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3" tint="0.59999389629810485"/>
  </sheetPr>
  <dimension ref="A1:U17"/>
  <sheetViews>
    <sheetView showGridLines="0" topLeftCell="C5" zoomScale="90" workbookViewId="0"/>
  </sheetViews>
  <sheetFormatPr defaultColWidth="10.5703125" defaultRowHeight="14.25" customHeight="1"/>
  <cols>
    <col min="1" max="1" width="9.140625" style="1721" hidden="1" customWidth="1"/>
    <col min="2" max="2" width="9.140625" style="1829" hidden="1" customWidth="1"/>
    <col min="3" max="3" width="3.7109375" style="1743" customWidth="1"/>
    <col min="4" max="4" width="5.5703125" style="1829" customWidth="1"/>
    <col min="5" max="5" width="38.140625" style="1829" customWidth="1"/>
    <col min="6" max="7" width="3.7109375" style="1829" customWidth="1"/>
    <col min="8" max="8" width="38.28515625" style="1829" customWidth="1"/>
    <col min="9" max="9" width="35.7109375" style="1829" customWidth="1"/>
    <col min="10" max="10" width="103.7109375" style="1829" customWidth="1"/>
    <col min="11" max="11" width="3.7109375" style="1648" customWidth="1"/>
    <col min="12" max="14" width="10.5703125" style="1755"/>
    <col min="15" max="15" width="13.7109375" style="1755" customWidth="1"/>
    <col min="16" max="16" width="15.42578125" style="1755" customWidth="1"/>
    <col min="17" max="17" width="16.28515625" style="1755" customWidth="1"/>
    <col min="18" max="21" width="10.5703125" style="1755"/>
  </cols>
  <sheetData>
    <row r="1" spans="1:21" ht="14.25" hidden="1" customHeight="1">
      <c r="E1" s="347"/>
      <c r="F1" s="347"/>
      <c r="G1" s="347"/>
      <c r="H1" s="2115" t="s">
        <v>346</v>
      </c>
      <c r="I1" s="2115"/>
    </row>
    <row r="2" spans="1:21" s="1829" customFormat="1" ht="14.25" hidden="1" customHeight="1">
      <c r="C2" s="1478"/>
      <c r="D2" s="2118" t="s">
        <v>108</v>
      </c>
      <c r="E2" s="2120"/>
      <c r="F2" s="1484"/>
      <c r="G2" s="1479" t="s">
        <v>108</v>
      </c>
      <c r="H2" s="1482"/>
      <c r="I2" s="1480"/>
      <c r="L2" s="1481"/>
      <c r="M2" s="1481"/>
      <c r="N2" s="1481"/>
      <c r="O2" s="1481" t="s">
        <v>376</v>
      </c>
      <c r="P2" s="1481"/>
      <c r="Q2" s="1481"/>
      <c r="R2" s="1483" t="s">
        <v>375</v>
      </c>
      <c r="S2" s="1483" t="s">
        <v>375</v>
      </c>
      <c r="T2" s="1481"/>
      <c r="U2" s="1481"/>
    </row>
    <row r="3" spans="1:21" s="1829" customFormat="1" ht="14.25" hidden="1" customHeight="1">
      <c r="C3" s="1478"/>
      <c r="D3" s="2119"/>
      <c r="E3" s="2121"/>
      <c r="F3" s="340"/>
      <c r="G3" s="767"/>
      <c r="H3" s="767" t="s">
        <v>377</v>
      </c>
      <c r="I3" s="233"/>
      <c r="L3" s="1481"/>
      <c r="M3" s="1481"/>
      <c r="N3" s="1481"/>
      <c r="O3" s="1481"/>
      <c r="P3" s="1481"/>
      <c r="Q3" s="1481"/>
      <c r="R3" s="1483"/>
      <c r="S3" s="1483"/>
      <c r="T3" s="1481"/>
      <c r="U3" s="1481"/>
    </row>
    <row r="4" spans="1:21" ht="14.25" hidden="1" customHeight="1"/>
    <row r="5" spans="1:21" s="1649" customFormat="1" ht="6" customHeight="1">
      <c r="C5" s="614"/>
      <c r="D5" s="615"/>
      <c r="E5" s="615"/>
      <c r="F5" s="615"/>
      <c r="G5" s="615"/>
      <c r="H5" s="615" t="s">
        <v>350</v>
      </c>
      <c r="I5" s="615"/>
      <c r="J5" s="615"/>
      <c r="L5" s="1474"/>
      <c r="M5" s="1474"/>
      <c r="N5" s="1474"/>
      <c r="O5" s="1474"/>
      <c r="P5" s="1474"/>
      <c r="Q5" s="1474"/>
      <c r="R5" s="1474"/>
      <c r="S5" s="1474"/>
      <c r="T5" s="1474"/>
      <c r="U5" s="1474"/>
    </row>
    <row r="6" spans="1:21" ht="17.25" customHeight="1">
      <c r="C6" s="1378"/>
      <c r="D6" s="2000" t="s">
        <v>378</v>
      </c>
      <c r="E6" s="2001"/>
      <c r="F6" s="2001"/>
      <c r="G6" s="2001"/>
      <c r="H6" s="2001"/>
      <c r="I6" s="2001"/>
      <c r="J6" s="419"/>
      <c r="K6" s="1475"/>
    </row>
    <row r="7" spans="1:21" ht="17.25" customHeight="1">
      <c r="C7" s="1378"/>
      <c r="D7" s="2112" t="str">
        <f>IF(org=0,"Не определено",org)</f>
        <v>МУП г. Астрахани "Коммунэнерго"</v>
      </c>
      <c r="E7" s="2113"/>
      <c r="F7" s="2113"/>
      <c r="G7" s="2113"/>
      <c r="H7" s="2113"/>
      <c r="I7" s="2113"/>
      <c r="J7" s="419"/>
      <c r="K7" s="1475"/>
    </row>
    <row r="8" spans="1:21" s="1650" customFormat="1" ht="6" customHeight="1">
      <c r="A8" s="1473"/>
      <c r="C8" s="414"/>
      <c r="D8" s="413"/>
      <c r="E8" s="413"/>
      <c r="F8" s="413"/>
      <c r="G8" s="413"/>
      <c r="H8" s="413"/>
      <c r="I8" s="413"/>
      <c r="J8" s="413"/>
      <c r="L8" s="1474"/>
      <c r="M8" s="1474"/>
      <c r="N8" s="1474"/>
      <c r="O8" s="1474"/>
      <c r="P8" s="1474"/>
      <c r="Q8" s="1474"/>
      <c r="R8" s="1474"/>
      <c r="S8" s="1474"/>
      <c r="T8" s="1474"/>
      <c r="U8" s="1474"/>
    </row>
    <row r="9" spans="1:21" s="1650" customFormat="1" ht="6" customHeight="1">
      <c r="A9" s="1473"/>
      <c r="C9" s="414"/>
      <c r="D9" s="413"/>
      <c r="E9" s="413"/>
      <c r="F9" s="413"/>
      <c r="G9" s="413"/>
      <c r="H9" s="413"/>
      <c r="I9" s="413"/>
      <c r="J9" s="413"/>
      <c r="L9" s="1481"/>
      <c r="M9" s="1481"/>
      <c r="N9" s="1481"/>
      <c r="O9" s="1481"/>
      <c r="P9" s="1481"/>
      <c r="Q9" s="1481"/>
      <c r="R9" s="1481"/>
      <c r="S9" s="1481"/>
      <c r="T9" s="1481"/>
      <c r="U9" s="1481"/>
    </row>
    <row r="10" spans="1:21" ht="14.25" customHeight="1">
      <c r="C10" s="1378"/>
      <c r="D10" s="2103" t="s">
        <v>292</v>
      </c>
      <c r="E10" s="2116"/>
      <c r="F10" s="2116"/>
      <c r="G10" s="2116"/>
      <c r="H10" s="2116"/>
      <c r="I10" s="2116"/>
      <c r="J10" s="2064" t="s">
        <v>293</v>
      </c>
    </row>
    <row r="11" spans="1:21" ht="25.5" customHeight="1">
      <c r="C11" s="1378"/>
      <c r="D11" s="2007" t="s">
        <v>87</v>
      </c>
      <c r="E11" s="2064" t="str">
        <f>IF(TEMPLATE_SPHERE&lt;&gt;"HEAT","Регулируемый вид деятельности","Вид регулируемой деятельности")</f>
        <v>Регулируемый вид деятельности</v>
      </c>
      <c r="F11" s="2067" t="s">
        <v>87</v>
      </c>
      <c r="G11" s="2068"/>
      <c r="H11" s="2066" t="s">
        <v>379</v>
      </c>
      <c r="I11" s="2066" t="s">
        <v>380</v>
      </c>
      <c r="J11" s="2064"/>
    </row>
    <row r="12" spans="1:21" ht="14.25" customHeight="1">
      <c r="C12" s="1378"/>
      <c r="D12" s="2007"/>
      <c r="E12" s="2064"/>
      <c r="F12" s="2072"/>
      <c r="G12" s="2073"/>
      <c r="H12" s="2122"/>
      <c r="I12" s="2122"/>
      <c r="J12" s="2064"/>
    </row>
    <row r="13" spans="1:21" s="1708" customFormat="1" ht="11.25" customHeight="1">
      <c r="C13" s="426"/>
      <c r="D13" s="427" t="s">
        <v>370</v>
      </c>
      <c r="E13" s="427"/>
      <c r="F13" s="427"/>
      <c r="G13" s="427"/>
      <c r="H13" s="425"/>
      <c r="I13" s="425"/>
      <c r="J13" s="369"/>
      <c r="L13" s="1474"/>
      <c r="M13" s="1474"/>
      <c r="N13" s="1474"/>
      <c r="O13" s="1474"/>
      <c r="P13" s="1474"/>
      <c r="Q13" s="1474"/>
      <c r="R13" s="1474"/>
      <c r="S13" s="1474"/>
      <c r="T13" s="1474"/>
      <c r="U13" s="1474"/>
    </row>
    <row r="14" spans="1:21" ht="14.25" customHeight="1">
      <c r="A14" s="1471"/>
      <c r="C14" s="1378"/>
      <c r="D14" s="2118" t="s">
        <v>108</v>
      </c>
      <c r="E14" s="2120"/>
      <c r="F14" s="1477"/>
      <c r="G14" s="1476" t="s">
        <v>108</v>
      </c>
      <c r="H14" s="1482"/>
      <c r="I14" s="1480"/>
      <c r="J14" s="2053" t="s">
        <v>381</v>
      </c>
      <c r="K14" s="1471"/>
      <c r="R14" s="428" t="s">
        <v>375</v>
      </c>
      <c r="S14" s="428" t="s">
        <v>375</v>
      </c>
    </row>
    <row r="15" spans="1:21" ht="14.25" customHeight="1">
      <c r="A15" s="1471"/>
      <c r="C15" s="1378"/>
      <c r="D15" s="2119"/>
      <c r="E15" s="2121"/>
      <c r="F15" s="340"/>
      <c r="G15" s="767"/>
      <c r="H15" s="767" t="s">
        <v>377</v>
      </c>
      <c r="I15" s="233"/>
      <c r="J15" s="2054"/>
      <c r="K15" s="1471"/>
      <c r="R15" s="428"/>
      <c r="S15" s="428"/>
    </row>
    <row r="16" spans="1:21" ht="14.25" customHeight="1">
      <c r="A16" s="1471"/>
      <c r="C16" s="1378"/>
      <c r="D16" s="340"/>
      <c r="E16" s="767" t="s">
        <v>122</v>
      </c>
      <c r="F16" s="233"/>
      <c r="G16" s="233"/>
      <c r="H16" s="341"/>
      <c r="I16" s="341"/>
      <c r="J16" s="2055"/>
      <c r="K16" s="1471"/>
    </row>
    <row r="17" spans="11:11" ht="14.25" customHeight="1">
      <c r="K17" s="1471"/>
    </row>
  </sheetData>
  <sheetProtection formatColumns="0" formatRows="0" insertRows="0" deleteColumns="0" deleteRows="0" sort="0" autoFilter="0"/>
  <mergeCells count="15">
    <mergeCell ref="J14:J16"/>
    <mergeCell ref="D10:I10"/>
    <mergeCell ref="J10:J12"/>
    <mergeCell ref="D11:D12"/>
    <mergeCell ref="E11:E12"/>
    <mergeCell ref="F11:G12"/>
    <mergeCell ref="H11:H12"/>
    <mergeCell ref="I11:I12"/>
    <mergeCell ref="D14:D15"/>
    <mergeCell ref="E14:E15"/>
    <mergeCell ref="H1:I1"/>
    <mergeCell ref="D6:I6"/>
    <mergeCell ref="D7:I7"/>
    <mergeCell ref="D2:D3"/>
    <mergeCell ref="E2:E3"/>
  </mergeCells>
  <dataValidations count="4">
    <dataValidation allowBlank="1" showErrorMessage="1" errorTitle="Ошибка" error="Допускается ввод только неотрицательных чисел!" sqref="E13:G13"/>
    <dataValidation type="decimal" allowBlank="1" showErrorMessage="1" errorTitle="Ошибка" error="Допускается ввод только неотрицательных чисел!" sqref="H13:I13">
      <formula1>0</formula1>
      <formula2>9.99999999999999E+23</formula2>
    </dataValidation>
    <dataValidation allowBlank="1" showInputMessage="1" showErrorMessage="1" prompt="Выберите один или несколько одновременно видов деятельности, выполнив последовательно по одному щелчку на строке с видом деятельности" sqref="E14 E2"/>
    <dataValidation type="whole" allowBlank="1" showErrorMessage="1" errorTitle="Ошибка" error="Допускается ввод только неотрицательных целых чисел!" sqref="H14:I14 H2:I2">
      <formula1>0</formula1>
      <formula2>9.99999999999999E+23</formula2>
    </dataValidation>
  </dataValidations>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86</vt:i4>
      </vt:variant>
      <vt:variant>
        <vt:lpstr>Именованные диапазоны</vt:lpstr>
      </vt:variant>
      <vt:variant>
        <vt:i4>1704</vt:i4>
      </vt:variant>
    </vt:vector>
  </HeadingPairs>
  <TitlesOfParts>
    <vt:vector size="1790" baseType="lpstr">
      <vt:lpstr>Инструкция</vt:lpstr>
      <vt:lpstr>Титульный</vt:lpstr>
      <vt:lpstr>Список территорий</vt:lpstr>
      <vt:lpstr>Дифференциация</vt:lpstr>
      <vt:lpstr>Перечень тарифов</vt:lpstr>
      <vt:lpstr>Дифференциация тариф показатель</vt:lpstr>
      <vt:lpstr>Общая информация об организации</vt:lpstr>
      <vt:lpstr>Общая информация по ВД</vt:lpstr>
      <vt:lpstr>Виды объектов</vt:lpstr>
      <vt:lpstr>Сведения по территориям</vt:lpstr>
      <vt:lpstr>DATA_FORMS</vt:lpstr>
      <vt:lpstr>DATA_NPA</vt:lpstr>
      <vt:lpstr>TEHSHEET</vt:lpstr>
      <vt:lpstr>et_union_hor</vt:lpstr>
      <vt:lpstr>Договоры</vt:lpstr>
      <vt:lpstr>ТС. Т-ТЭ | &gt;=25МВт</vt:lpstr>
      <vt:lpstr>ТС. Т-ТЭ | ТСО</vt:lpstr>
      <vt:lpstr>ТС. Резерв мощности</vt:lpstr>
      <vt:lpstr>ТС. Т-ТН</vt:lpstr>
      <vt:lpstr>ТС. Т-передача ТЭ</vt:lpstr>
      <vt:lpstr>ТС. Т-передача ТН</vt:lpstr>
      <vt:lpstr>ТС. Т-гор.вода</vt:lpstr>
      <vt:lpstr>ТС. Т-подкл</vt:lpstr>
      <vt:lpstr>Т-ТЭ | потр</vt:lpstr>
      <vt:lpstr>Т-ТЭ | предел</vt:lpstr>
      <vt:lpstr>Т-ТЭ | индикат</vt:lpstr>
      <vt:lpstr>Т-подкл(инд)</vt:lpstr>
      <vt:lpstr>Порядок ТП</vt:lpstr>
      <vt:lpstr>Сведения о закупках</vt:lpstr>
      <vt:lpstr>modMainProcedures</vt:lpstr>
      <vt:lpstr>Потребительские характеристики</vt:lpstr>
      <vt:lpstr>ТП</vt:lpstr>
      <vt:lpstr>Ограничения</vt:lpstr>
      <vt:lpstr>Предложение</vt:lpstr>
      <vt:lpstr>ХВС. Т-пит</vt:lpstr>
      <vt:lpstr>ХВС. Т-тех</vt:lpstr>
      <vt:lpstr>ХВС. Т-транс</vt:lpstr>
      <vt:lpstr>ХВС. Т-подвоз</vt:lpstr>
      <vt:lpstr>ХВС. Т-подкл</vt:lpstr>
      <vt:lpstr>Показатели ФХД</vt:lpstr>
      <vt:lpstr>Показатели ФХД &gt;20%</vt:lpstr>
      <vt:lpstr>ТКО. Показатели ФХД</vt:lpstr>
      <vt:lpstr>ТКО. Транс. Показатели ФХД</vt:lpstr>
      <vt:lpstr>Показатели КНЭ</vt:lpstr>
      <vt:lpstr>ИП</vt:lpstr>
      <vt:lpstr>ИП. Детализация</vt:lpstr>
      <vt:lpstr>ИП. Финансовый план</vt:lpstr>
      <vt:lpstr>ИП. КНЭ</vt:lpstr>
      <vt:lpstr>ГВС. Т-гор.вода</vt:lpstr>
      <vt:lpstr>ГВС. Т-транс</vt:lpstr>
      <vt:lpstr>ГВС. Т-подкл</vt:lpstr>
      <vt:lpstr>ВО. Т-во</vt:lpstr>
      <vt:lpstr>ВО. Т-транс</vt:lpstr>
      <vt:lpstr>ВО. Т-подкл</vt:lpstr>
      <vt:lpstr>modB_FHD</vt:lpstr>
      <vt:lpstr>modB_FHD20</vt:lpstr>
      <vt:lpstr>modB_KNE</vt:lpstr>
      <vt:lpstr>modIP_MAIN</vt:lpstr>
      <vt:lpstr>modIP_QRE</vt:lpstr>
      <vt:lpstr>modIP_DETAILED</vt:lpstr>
      <vt:lpstr>ЭД</vt:lpstr>
      <vt:lpstr>Сведения об изменении</vt:lpstr>
      <vt:lpstr>Орган регулирования</vt:lpstr>
      <vt:lpstr>Перечень организаций</vt:lpstr>
      <vt:lpstr>Дела об установлении тарифов</vt:lpstr>
      <vt:lpstr>Привлечение к ответственности</vt:lpstr>
      <vt:lpstr>Комментарии</vt:lpstr>
      <vt:lpstr>Проверка</vt:lpstr>
      <vt:lpstr>et_union_vert</vt:lpstr>
      <vt:lpstr>Легенда</vt:lpstr>
      <vt:lpstr>modfrmListIP</vt:lpstr>
      <vt:lpstr>modfrmActivity</vt:lpstr>
      <vt:lpstr>REESTR_ORG</vt:lpstr>
      <vt:lpstr>REESTR_MO</vt:lpstr>
      <vt:lpstr>REESTR_IP</vt:lpstr>
      <vt:lpstr>REESTR_OBJ_INFR</vt:lpstr>
      <vt:lpstr>REESTR_DS</vt:lpstr>
      <vt:lpstr>REESTR_VT</vt:lpstr>
      <vt:lpstr>REESTR_VED</vt:lpstr>
      <vt:lpstr>REESTR_MO_FILTER</vt:lpstr>
      <vt:lpstr>REESTR_LINK</vt:lpstr>
      <vt:lpstr>modSheetMain</vt:lpstr>
      <vt:lpstr>modfrmReportMode</vt:lpstr>
      <vt:lpstr>modfrmReestrObj</vt:lpstr>
      <vt:lpstr>AllSheetsInThisWorkbook</vt:lpstr>
      <vt:lpstr>modInfo</vt:lpstr>
      <vt:lpstr>Проверка!_ФильтрБазыДанных</vt:lpstr>
      <vt:lpstr>B_FHD_CHECK_INDEX_1</vt:lpstr>
      <vt:lpstr>B_FHD_CHECK_INDEX_2</vt:lpstr>
      <vt:lpstr>B_FHD_COSTS_INDEX_1</vt:lpstr>
      <vt:lpstr>B_FHD_COSTS_INDEX_2</vt:lpstr>
      <vt:lpstr>B_FHD_DATA_TOP80_ACTIVITY</vt:lpstr>
      <vt:lpstr>B_FHD_diff_1</vt:lpstr>
      <vt:lpstr>B_FHD_FLAG_DIFFERENTIATION</vt:lpstr>
      <vt:lpstr>B_FHD_FLAG_INDEX_1</vt:lpstr>
      <vt:lpstr>B_FHD_FLAG_INDEX_2</vt:lpstr>
      <vt:lpstr>B_FHD_TKO_DATA_TOP80_ACTIVITY</vt:lpstr>
      <vt:lpstr>B_FHD_TKO_diff_1</vt:lpstr>
      <vt:lpstr>B_FHD_TKO_FLAG_DIFFERENTIATION</vt:lpstr>
      <vt:lpstr>B_FHD_TKO_TRANS_DATA_TOP80_ACTIVITY</vt:lpstr>
      <vt:lpstr>B_FHD_TKO_TRANS_diff_1</vt:lpstr>
      <vt:lpstr>B_FHD_TKO_TRANS_FLAG_DIFFERENTIATION</vt:lpstr>
      <vt:lpstr>B_FHD20_ADD_HL_2_COLUMN_MARKER</vt:lpstr>
      <vt:lpstr>B_FHD20_ADD_HL_3_COLUMN_MARKER</vt:lpstr>
      <vt:lpstr>B_FHD20_ADD_HL_4_COLUMN_MARKER</vt:lpstr>
      <vt:lpstr>B_FHD20_ALL_DATA</vt:lpstr>
      <vt:lpstr>B_FHD20_COSTS_OPS_diff_1</vt:lpstr>
      <vt:lpstr>B_FHD20_COSTS_PH_diff_1</vt:lpstr>
      <vt:lpstr>B_FHD20_DEL_HL_2_COLUMN_MARKER</vt:lpstr>
      <vt:lpstr>B_FHD20_DEL_HL_3_COLUMN_MARKER</vt:lpstr>
      <vt:lpstr>B_FHD20_DEL_HL_4_COLUMN_MARKER</vt:lpstr>
      <vt:lpstr>B_FHD20_diff_1</vt:lpstr>
      <vt:lpstr>B_FHD20_FLAG_FHD</vt:lpstr>
      <vt:lpstr>B_FHD20_NUMBER_COLUMN_MARKER</vt:lpstr>
      <vt:lpstr>B_FHD20_PART_COLUMN_MARKER</vt:lpstr>
      <vt:lpstr>B_KNE_diff_1</vt:lpstr>
      <vt:lpstr>BLOCK_BALANCE_INDICATORS</vt:lpstr>
      <vt:lpstr>BLOCK_BALANCE_TKO_FLAG_TRANS</vt:lpstr>
      <vt:lpstr>BLOCK_CONNECTION_STATE</vt:lpstr>
      <vt:lpstr>BLOCK_DIFF_CS</vt:lpstr>
      <vt:lpstr>BLOCK_DIFFERENTIATION_NOT_TKO</vt:lpstr>
      <vt:lpstr>BLOCK_FIRST_TARIFF</vt:lpstr>
      <vt:lpstr>BLOCK_FIRST_TARIFF_OREG_PUBL</vt:lpstr>
      <vt:lpstr>BLOCK_MAIN_INFO_HEAT</vt:lpstr>
      <vt:lpstr>BLOCK_MAIN_INFO_NOT_TKO</vt:lpstr>
      <vt:lpstr>BLOCK_MAIN_INFO_OBJECT_COLDVSNA</vt:lpstr>
      <vt:lpstr>BLOCK_MAIN_INFO_OBJECT_COMM_COLDVSNA</vt:lpstr>
      <vt:lpstr>BLOCK_MAIN_INFO_OBJECT_COMM_HEAT</vt:lpstr>
      <vt:lpstr>BLOCK_MAIN_INFO_OBJECT_COMM_HOTVSNA</vt:lpstr>
      <vt:lpstr>BLOCK_MAIN_INFO_OBJECT_COMM_VOTV</vt:lpstr>
      <vt:lpstr>BLOCK_MAIN_INFO_OBJECT_HEAT</vt:lpstr>
      <vt:lpstr>BLOCK_MAIN_INFO_OBJECT_HOTVSNA</vt:lpstr>
      <vt:lpstr>BLOCK_MAIN_INFO_OBJECT_VOTV</vt:lpstr>
      <vt:lpstr>BLOCK_NOTE_P_TARIFF_A</vt:lpstr>
      <vt:lpstr>BLOCK_NOTE_P_TARIFF_A_COLDVSNA</vt:lpstr>
      <vt:lpstr>BLOCK_NOTE_P_TARIFF_A_HOTVSNA</vt:lpstr>
      <vt:lpstr>BLOCK_NOTE_P_TARIFF_A_VOTV</vt:lpstr>
      <vt:lpstr>BLOCK_NOTE_P_TARIFF_B</vt:lpstr>
      <vt:lpstr>BLOCK_NOTE_P_TARIFF_B_COLDVSNA</vt:lpstr>
      <vt:lpstr>BLOCK_NOTE_P_TARIFF_B_HOTVSNA</vt:lpstr>
      <vt:lpstr>BLOCK_NOTE_P_TARIFF_B_VOTV</vt:lpstr>
      <vt:lpstr>BLOCK_NOTE_P_TARIFF_C</vt:lpstr>
      <vt:lpstr>BLOCK_NOTE_P_TARIFF_C_COLDVSNA</vt:lpstr>
      <vt:lpstr>BLOCK_NOTE_P_TARIFF_C_HOTVSNA</vt:lpstr>
      <vt:lpstr>BLOCK_NOTE_P_TARIFF_C_VOTV</vt:lpstr>
      <vt:lpstr>BLOCK_NOTE_P_TARIFF_D</vt:lpstr>
      <vt:lpstr>BLOCK_NOTE_P_TARIFF_D_COLDVSNA</vt:lpstr>
      <vt:lpstr>BLOCK_NOTE_P_TARIFF_E_COLDVSNA</vt:lpstr>
      <vt:lpstr>BLOCK_NOTE_P_TARIFF_E1</vt:lpstr>
      <vt:lpstr>BLOCK_NOTE_P_TARIFF_E2</vt:lpstr>
      <vt:lpstr>BLOCK_NOTE_P_TARIFF_F</vt:lpstr>
      <vt:lpstr>BLOCK_NOTE_P_TARIFF_G</vt:lpstr>
      <vt:lpstr>BLOCK_NOTE_R_TARIFF_A</vt:lpstr>
      <vt:lpstr>BLOCK_NOTE_R_TARIFF_A_COLDVSNA</vt:lpstr>
      <vt:lpstr>BLOCK_NOTE_R_TARIFF_A_HOTVSNA</vt:lpstr>
      <vt:lpstr>BLOCK_NOTE_R_TARIFF_A_VOTV</vt:lpstr>
      <vt:lpstr>BLOCK_NOTE_R_TARIFF_B</vt:lpstr>
      <vt:lpstr>BLOCK_NOTE_R_TARIFF_B_COLDVSNA</vt:lpstr>
      <vt:lpstr>BLOCK_NOTE_R_TARIFF_B_HOTVSNA</vt:lpstr>
      <vt:lpstr>BLOCK_NOTE_R_TARIFF_B_VOTV</vt:lpstr>
      <vt:lpstr>BLOCK_NOTE_R_TARIFF_C</vt:lpstr>
      <vt:lpstr>BLOCK_NOTE_R_TARIFF_C_COLDVSNA</vt:lpstr>
      <vt:lpstr>BLOCK_NOTE_R_TARIFF_C_HOTVSNA</vt:lpstr>
      <vt:lpstr>BLOCK_NOTE_R_TARIFF_C_VOTV</vt:lpstr>
      <vt:lpstr>BLOCK_NOTE_R_TARIFF_D</vt:lpstr>
      <vt:lpstr>BLOCK_NOTE_R_TARIFF_D_COLDVSNA</vt:lpstr>
      <vt:lpstr>BLOCK_NOTE_R_TARIFF_E_COLDVSNA</vt:lpstr>
      <vt:lpstr>BLOCK_NOTE_R_TARIFF_E1</vt:lpstr>
      <vt:lpstr>BLOCK_NOTE_R_TARIFF_E2</vt:lpstr>
      <vt:lpstr>BLOCK_NOTE_R_TARIFF_F</vt:lpstr>
      <vt:lpstr>BLOCK_NOTE_R_TARIFF_G</vt:lpstr>
      <vt:lpstr>BLOCK_PERIOD_DATA</vt:lpstr>
      <vt:lpstr>BLOCK_PERIOD_QUARTER</vt:lpstr>
      <vt:lpstr>BLOCK_PERIOD_TWO_DATA</vt:lpstr>
      <vt:lpstr>BLOCK_PERIOD_YEAR</vt:lpstr>
      <vt:lpstr>BLOCK_POK_FHD_COLDVSNA_P1</vt:lpstr>
      <vt:lpstr>BLOCK_POK_FHD_COLDVSNA_P2</vt:lpstr>
      <vt:lpstr>BLOCK_POK_FHD_HEAT_P1</vt:lpstr>
      <vt:lpstr>BLOCK_POK_FHD_HEAT_P2</vt:lpstr>
      <vt:lpstr>BLOCK_POK_FHD_HEAT_P3</vt:lpstr>
      <vt:lpstr>BLOCK_POK_FHD_HEAT_P4</vt:lpstr>
      <vt:lpstr>BLOCK_POK_FHD_HEAT_P5</vt:lpstr>
      <vt:lpstr>BLOCK_POK_FHD_HEAT_P6</vt:lpstr>
      <vt:lpstr>BLOCK_POK_FHD_HOTVSNA_P1</vt:lpstr>
      <vt:lpstr>BLOCK_POK_FHD_HOTVSNA_P2</vt:lpstr>
      <vt:lpstr>BLOCK_POK_FHD_NOT_HEAT_P1</vt:lpstr>
      <vt:lpstr>BLOCK_POK_FHD_NOT_HEAT_P2</vt:lpstr>
      <vt:lpstr>BLOCK_POK_FHD_NOT_HOTVSNA</vt:lpstr>
      <vt:lpstr>BLOCK_POK_FHD_VOTV_P1</vt:lpstr>
      <vt:lpstr>BLOCK_POK_FHD_VSNA</vt:lpstr>
      <vt:lpstr>BLOCK_POK_FHD20_NOT_HEAT</vt:lpstr>
      <vt:lpstr>BLOCK_POK_KNE_COLDVSNA</vt:lpstr>
      <vt:lpstr>BLOCK_POK_KNE_HEAT</vt:lpstr>
      <vt:lpstr>BLOCK_POK_KNE_HOTVSNA</vt:lpstr>
      <vt:lpstr>BLOCK_POK_KNE_VOTV</vt:lpstr>
      <vt:lpstr>BLOCK_PRICE_INDICATORS_HEAT</vt:lpstr>
      <vt:lpstr>BLOCK_PRICE_IST_TE</vt:lpstr>
      <vt:lpstr>BLOCK_PRICE_REQUEST</vt:lpstr>
      <vt:lpstr>BLOCK_PT_COLDVSNA</vt:lpstr>
      <vt:lpstr>BLOCK_PT_HEAT</vt:lpstr>
      <vt:lpstr>BLOCK_PT_HOTVSNA</vt:lpstr>
      <vt:lpstr>BLOCK_PT_VOTV</vt:lpstr>
      <vt:lpstr>BLOCK_TABLE_P_TARIFF_A</vt:lpstr>
      <vt:lpstr>BLOCK_TABLE_P_TARIFF_A_COLDVSNA</vt:lpstr>
      <vt:lpstr>BLOCK_TABLE_P_TARIFF_A_HOTVSNA</vt:lpstr>
      <vt:lpstr>BLOCK_TABLE_P_TARIFF_A_VOTV</vt:lpstr>
      <vt:lpstr>BLOCK_TABLE_P_TARIFF_B</vt:lpstr>
      <vt:lpstr>BLOCK_TABLE_P_TARIFF_B_COLDVSNA</vt:lpstr>
      <vt:lpstr>BLOCK_TABLE_P_TARIFF_B_HOTVSNA</vt:lpstr>
      <vt:lpstr>BLOCK_TABLE_P_TARIFF_B_VOTV</vt:lpstr>
      <vt:lpstr>BLOCK_TABLE_P_TARIFF_C</vt:lpstr>
      <vt:lpstr>BLOCK_TABLE_P_TARIFF_C_COLDVSNA</vt:lpstr>
      <vt:lpstr>BLOCK_TABLE_P_TARIFF_C_HOTVSNA</vt:lpstr>
      <vt:lpstr>BLOCK_TABLE_P_TARIFF_C_VOTV</vt:lpstr>
      <vt:lpstr>BLOCK_TABLE_P_TARIFF_D</vt:lpstr>
      <vt:lpstr>BLOCK_TABLE_P_TARIFF_D_COLDVSNA</vt:lpstr>
      <vt:lpstr>BLOCK_TABLE_P_TARIFF_E_COLDVSNA</vt:lpstr>
      <vt:lpstr>BLOCK_TABLE_P_TARIFF_E1</vt:lpstr>
      <vt:lpstr>BLOCK_TABLE_P_TARIFF_E2</vt:lpstr>
      <vt:lpstr>BLOCK_TABLE_P_TARIFF_F</vt:lpstr>
      <vt:lpstr>BLOCK_TABLE_P_TARIFF_G</vt:lpstr>
      <vt:lpstr>BLOCK_TABLE_R_TARIFF_A</vt:lpstr>
      <vt:lpstr>BLOCK_TABLE_R_TARIFF_A_COLDVSNA</vt:lpstr>
      <vt:lpstr>BLOCK_TABLE_R_TARIFF_A_HOTVSNA</vt:lpstr>
      <vt:lpstr>BLOCK_TABLE_R_TARIFF_A_VOTV</vt:lpstr>
      <vt:lpstr>BLOCK_TABLE_R_TARIFF_B</vt:lpstr>
      <vt:lpstr>BLOCK_TABLE_R_TARIFF_B_COLDVSNA</vt:lpstr>
      <vt:lpstr>BLOCK_TABLE_R_TARIFF_B_HOTVSNA</vt:lpstr>
      <vt:lpstr>BLOCK_TABLE_R_TARIFF_B_VOTV</vt:lpstr>
      <vt:lpstr>BLOCK_TABLE_R_TARIFF_C</vt:lpstr>
      <vt:lpstr>BLOCK_TABLE_R_TARIFF_C_COLDVSNA</vt:lpstr>
      <vt:lpstr>BLOCK_TABLE_R_TARIFF_C_HOTVSNA</vt:lpstr>
      <vt:lpstr>BLOCK_TABLE_R_TARIFF_C_VOTV</vt:lpstr>
      <vt:lpstr>BLOCK_TABLE_R_TARIFF_D</vt:lpstr>
      <vt:lpstr>BLOCK_TABLE_R_TARIFF_D_COLDVSNA</vt:lpstr>
      <vt:lpstr>BLOCK_TABLE_R_TARIFF_E_COLDVSNA</vt:lpstr>
      <vt:lpstr>BLOCK_TABLE_R_TARIFF_E1</vt:lpstr>
      <vt:lpstr>BLOCK_TABLE_R_TARIFF_E2</vt:lpstr>
      <vt:lpstr>BLOCK_TABLE_R_TARIFF_F</vt:lpstr>
      <vt:lpstr>BLOCK_TABLE_R_TARIFF_G</vt:lpstr>
      <vt:lpstr>BLOCK_TEMPLATES_INVEST_TIT</vt:lpstr>
      <vt:lpstr>BLOCK_TERMS_HEAT_P1</vt:lpstr>
      <vt:lpstr>BLOCK_TERMS_NOT_TKO_P1</vt:lpstr>
      <vt:lpstr>BLOCK_TERMS_NOT_TKO_P2</vt:lpstr>
      <vt:lpstr>BLOCK_TERMS_TKO_TRANS</vt:lpstr>
      <vt:lpstr>BLOCK_TERRITORY_INFO</vt:lpstr>
      <vt:lpstr>BLOCK_WARM_ORG_TYPE</vt:lpstr>
      <vt:lpstr>checkCell_List01</vt:lpstr>
      <vt:lpstr>checkCell_List07</vt:lpstr>
      <vt:lpstr>CLASS_TKO_LIST</vt:lpstr>
      <vt:lpstr>code</vt:lpstr>
      <vt:lpstr>CodeTemplateList</vt:lpstr>
      <vt:lpstr>COLDVSNA_FIN_SRC_LIST</vt:lpstr>
      <vt:lpstr>COLDVSNA_FIN_SRC_VLD_LIST</vt:lpstr>
      <vt:lpstr>COLDVSNA_IP_EVENT_CI_STAGE_LIST</vt:lpstr>
      <vt:lpstr>COLDVSNA_IP_EVENT_GROUP_LIST</vt:lpstr>
      <vt:lpstr>COLDVSNA_IP_EVENT_SUBGROUP_1_LIST</vt:lpstr>
      <vt:lpstr>COLDVSNA_IP_EVENT_SUBGROUP_3_LIST</vt:lpstr>
      <vt:lpstr>COLDVSNA_IP_EVENT_SUBGROUP_5_LIST</vt:lpstr>
      <vt:lpstr>COLDVSNA_IP_EVENT_TYPE_LIST</vt:lpstr>
      <vt:lpstr>COLDVSNA_PT_VED_ID</vt:lpstr>
      <vt:lpstr>COLDVSNA_PT_VED_NAME</vt:lpstr>
      <vt:lpstr>COLDVSNA_PT_VED_NAME_LIST</vt:lpstr>
      <vt:lpstr>COLDVSNA_TARIFF_A_COLDVSNA_ADD_HL_COLUMN_MARKER</vt:lpstr>
      <vt:lpstr>COLDVSNA_TARIFF_A_COLDVSNA_DEL_HL_DATA_DIFF_COLUMN_MARKER</vt:lpstr>
      <vt:lpstr>COLDVSNA_TARIFF_A_COLDVSNA_DEL_HL_FLAG_DIFF_COLUMN_MARKER</vt:lpstr>
      <vt:lpstr>COLDVSNA_TARIFF_A_COLDVSNA_DEL_HL_GC_COLUMN_MARKER</vt:lpstr>
      <vt:lpstr>COLDVSNA_TARIFF_A_COLDVSNA_DELETE_PERIOD_ROW_MARKER</vt:lpstr>
      <vt:lpstr>COLDVSNA_TARIFF_A_COLDVSNA_FLAG_BLOCK_COLUMN_MARKER</vt:lpstr>
      <vt:lpstr>COLDVSNA_TARIFF_A_COLDVSNA_FLAG_BLOCK_ROW_MARKER</vt:lpstr>
      <vt:lpstr>COLDVSNA_TARIFF_A_COLDVSNA_NUM_CS_COLUMN_MARKER</vt:lpstr>
      <vt:lpstr>COLDVSNA_TARIFF_A_COLDVSNA_NUM_DATA_DIFF_COLUMN_MARKER</vt:lpstr>
      <vt:lpstr>COLDVSNA_TARIFF_A_COLDVSNA_NUM_FLAG_DIFF_COLUMN_MARKER</vt:lpstr>
      <vt:lpstr>COLDVSNA_TARIFF_A_COLDVSNA_NUM_GC_COLUMN_MARKER</vt:lpstr>
      <vt:lpstr>COLDVSNA_TARIFF_A_COLDVSNA_NUM_NTAR_COLUMN_MARKER</vt:lpstr>
      <vt:lpstr>COLDVSNA_TARIFF_A_COLDVSNA_NUM_TER_COLUMN_MARKER</vt:lpstr>
      <vt:lpstr>COLDVSNA_TARIFF_B_COLDVSNA_ADD_HL_COLUMN_MARKER</vt:lpstr>
      <vt:lpstr>COLDVSNA_TARIFF_B_COLDVSNA_DEL_HL_DATA_DIFF_COLUMN_MARKER</vt:lpstr>
      <vt:lpstr>COLDVSNA_TARIFF_B_COLDVSNA_DEL_HL_FLAG_DIFF_COLUMN_MARKER</vt:lpstr>
      <vt:lpstr>COLDVSNA_TARIFF_B_COLDVSNA_DEL_HL_GC_COLUMN_MARKER</vt:lpstr>
      <vt:lpstr>COLDVSNA_TARIFF_B_COLDVSNA_DELETE_PERIOD_ROW_MARKER</vt:lpstr>
      <vt:lpstr>COLDVSNA_TARIFF_B_COLDVSNA_FLAG_BLOCK_COLUMN_MARKER</vt:lpstr>
      <vt:lpstr>COLDVSNA_TARIFF_B_COLDVSNA_FLAG_BLOCK_ROW_MARKER</vt:lpstr>
      <vt:lpstr>COLDVSNA_TARIFF_B_COLDVSNA_NUM_CS_COLUMN_MARKER</vt:lpstr>
      <vt:lpstr>COLDVSNA_TARIFF_B_COLDVSNA_NUM_DATA_DIFF_COLUMN_MARKER</vt:lpstr>
      <vt:lpstr>COLDVSNA_TARIFF_B_COLDVSNA_NUM_FLAG_DIFF_COLUMN_MARKER</vt:lpstr>
      <vt:lpstr>COLDVSNA_TARIFF_B_COLDVSNA_NUM_GC_COLUMN_MARKER</vt:lpstr>
      <vt:lpstr>COLDVSNA_TARIFF_B_COLDVSNA_NUM_NTAR_COLUMN_MARKER</vt:lpstr>
      <vt:lpstr>COLDVSNA_TARIFF_B_COLDVSNA_NUM_TER_COLUMN_MARKER</vt:lpstr>
      <vt:lpstr>COLDVSNA_TARIFF_C_COLDVSNA_ADD_HL_COLUMN_MARKER</vt:lpstr>
      <vt:lpstr>COLDVSNA_TARIFF_C_COLDVSNA_DEL_HL_DATA_DIFF_COLUMN_MARKER</vt:lpstr>
      <vt:lpstr>COLDVSNA_TARIFF_C_COLDVSNA_DEL_HL_FLAG_DIFF_COLUMN_MARKER</vt:lpstr>
      <vt:lpstr>COLDVSNA_TARIFF_C_COLDVSNA_DEL_HL_GC_COLUMN_MARKER</vt:lpstr>
      <vt:lpstr>COLDVSNA_TARIFF_C_COLDVSNA_DELETE_PERIOD_ROW_MARKER</vt:lpstr>
      <vt:lpstr>COLDVSNA_TARIFF_C_COLDVSNA_FLAG_BLOCK_COLUMN_MARKER</vt:lpstr>
      <vt:lpstr>COLDVSNA_TARIFF_C_COLDVSNA_FLAG_BLOCK_ROW_MARKER</vt:lpstr>
      <vt:lpstr>COLDVSNA_TARIFF_C_COLDVSNA_NUM_CS_COLUMN_MARKER</vt:lpstr>
      <vt:lpstr>COLDVSNA_TARIFF_C_COLDVSNA_NUM_DATA_DIFF_COLUMN_MARKER</vt:lpstr>
      <vt:lpstr>COLDVSNA_TARIFF_C_COLDVSNA_NUM_FLAG_DIFF_COLUMN_MARKER</vt:lpstr>
      <vt:lpstr>COLDVSNA_TARIFF_C_COLDVSNA_NUM_GC_COLUMN_MARKER</vt:lpstr>
      <vt:lpstr>COLDVSNA_TARIFF_C_COLDVSNA_NUM_NTAR_COLUMN_MARKER</vt:lpstr>
      <vt:lpstr>COLDVSNA_TARIFF_C_COLDVSNA_NUM_TER_COLUMN_MARKER</vt:lpstr>
      <vt:lpstr>COLDVSNA_TARIFF_D_COLDVSNA_ADD_HL_COLUMN_MARKER</vt:lpstr>
      <vt:lpstr>COLDVSNA_TARIFF_D_COLDVSNA_DEL_HL_DATA_DIFF_COLUMN_MARKER</vt:lpstr>
      <vt:lpstr>COLDVSNA_TARIFF_D_COLDVSNA_DEL_HL_FLAG_DIFF_COLUMN_MARKER</vt:lpstr>
      <vt:lpstr>COLDVSNA_TARIFF_D_COLDVSNA_DEL_HL_GC_COLUMN_MARKER</vt:lpstr>
      <vt:lpstr>COLDVSNA_TARIFF_D_COLDVSNA_DELETE_PERIOD_ROW_MARKER</vt:lpstr>
      <vt:lpstr>COLDVSNA_TARIFF_D_COLDVSNA_FLAG_BLOCK_COLUMN_MARKER</vt:lpstr>
      <vt:lpstr>COLDVSNA_TARIFF_D_COLDVSNA_FLAG_BLOCK_ROW_MARKER</vt:lpstr>
      <vt:lpstr>COLDVSNA_TARIFF_D_COLDVSNA_NUM_CS_COLUMN_MARKER</vt:lpstr>
      <vt:lpstr>COLDVSNA_TARIFF_D_COLDVSNA_NUM_DATA_DIFF_COLUMN_MARKER</vt:lpstr>
      <vt:lpstr>COLDVSNA_TARIFF_D_COLDVSNA_NUM_FLAG_DIFF_COLUMN_MARKER</vt:lpstr>
      <vt:lpstr>COLDVSNA_TARIFF_D_COLDVSNA_NUM_GC_COLUMN_MARKER</vt:lpstr>
      <vt:lpstr>COLDVSNA_TARIFF_D_COLDVSNA_NUM_NTAR_COLUMN_MARKER</vt:lpstr>
      <vt:lpstr>COLDVSNA_TARIFF_D_COLDVSNA_NUM_TER_COLUMN_MARKER</vt:lpstr>
      <vt:lpstr>COLDVSNA_TARIFF_E_COLDVSNA_ADD_HL_COLUMN_MARKER</vt:lpstr>
      <vt:lpstr>COLDVSNA_TARIFF_E_COLDVSNA_ADD_HL_DIAMETERS_COLUMN_MARKER</vt:lpstr>
      <vt:lpstr>COLDVSNA_TARIFF_E_COLDVSNA_ADD_HL_LEN_COLUMN_MARKER</vt:lpstr>
      <vt:lpstr>COLDVSNA_TARIFF_E_COLDVSNA_ADD_HL_LOAD_COLUMN_MARKER</vt:lpstr>
      <vt:lpstr>COLDVSNA_TARIFF_E_COLDVSNA_ADD_HL_NETS_COLUMN_MARKER</vt:lpstr>
      <vt:lpstr>COLDVSNA_TARIFF_E_COLDVSNA_DEL_HL_DATA_DIFF_COLUMN_MARKER</vt:lpstr>
      <vt:lpstr>COLDVSNA_TARIFF_E_COLDVSNA_DEL_HL_DIAMETERS_COLUMN_MARKER</vt:lpstr>
      <vt:lpstr>COLDVSNA_TARIFF_E_COLDVSNA_DEL_HL_FLAG_DIFF_COLUMN_MARKER</vt:lpstr>
      <vt:lpstr>COLDVSNA_TARIFF_E_COLDVSNA_DEL_HL_GC_COLUMN_MARKER</vt:lpstr>
      <vt:lpstr>COLDVSNA_TARIFF_E_COLDVSNA_DEL_HL_LEN_COLUMN_MARKER</vt:lpstr>
      <vt:lpstr>COLDVSNA_TARIFF_E_COLDVSNA_DEL_HL_LOAD_COLUMN_MARKER</vt:lpstr>
      <vt:lpstr>COLDVSNA_TARIFF_E_COLDVSNA_DEL_HL_NETS_COLUMN_MARKER</vt:lpstr>
      <vt:lpstr>COLDVSNA_TARIFF_E_COLDVSNA_DELETE_PERIOD_ROW_MARKER</vt:lpstr>
      <vt:lpstr>COLDVSNA_TARIFF_E_COLDVSNA_FLAG_BLOCK_COLUMN_MARKER</vt:lpstr>
      <vt:lpstr>COLDVSNA_TARIFF_E_COLDVSNA_FLAG_BLOCK_ROW_MARKER</vt:lpstr>
      <vt:lpstr>COLDVSNA_TARIFF_E_COLDVSNA_NUM_CS_COLUMN_MARKER</vt:lpstr>
      <vt:lpstr>COLDVSNA_TARIFF_E_COLDVSNA_NUM_DATA_DIFF_COLUMN_MARKER</vt:lpstr>
      <vt:lpstr>COLDVSNA_TARIFF_E_COLDVSNA_NUM_DIAMETERS_COLUMN_MARKER</vt:lpstr>
      <vt:lpstr>COLDVSNA_TARIFF_E_COLDVSNA_NUM_FLAG_DIFF_COLUMN_MARKER</vt:lpstr>
      <vt:lpstr>COLDVSNA_TARIFF_E_COLDVSNA_NUM_GC_COLUMN_MARKER</vt:lpstr>
      <vt:lpstr>COLDVSNA_TARIFF_E_COLDVSNA_NUM_LEN_COLUMN_MARKER</vt:lpstr>
      <vt:lpstr>COLDVSNA_TARIFF_E_COLDVSNA_NUM_LOAD_COLUMN_MARKER</vt:lpstr>
      <vt:lpstr>COLDVSNA_TARIFF_E_COLDVSNA_NUM_NETS_COLUMN_MARKER</vt:lpstr>
      <vt:lpstr>COLDVSNA_TARIFF_E_COLDVSNA_NUM_NTAR_COLUMN_MARKER</vt:lpstr>
      <vt:lpstr>COLDVSNA_TARIFF_E_COLDVSNA_NUM_TER_COLUMN_MARKER</vt:lpstr>
      <vt:lpstr>cross_without_borders</vt:lpstr>
      <vt:lpstr>CS_ID</vt:lpstr>
      <vt:lpstr>CURRENT_DATE</vt:lpstr>
      <vt:lpstr>DATA_URL</vt:lpstr>
      <vt:lpstr>DESCRIPTION_TERRITORY</vt:lpstr>
      <vt:lpstr>DIFFERENTIATION_AREA</vt:lpstr>
      <vt:lpstr>DIFFERENTIATION_AREA_ID</vt:lpstr>
      <vt:lpstr>DIFFERENTIATION_CheckC</vt:lpstr>
      <vt:lpstr>DIFFERENTIATION_fieldMarker</vt:lpstr>
      <vt:lpstr>DIFFERENTIATION_ID</vt:lpstr>
      <vt:lpstr>DIFFERENTIATION_ID_DIFF</vt:lpstr>
      <vt:lpstr>DIFFERENTIATION_SYSTEM</vt:lpstr>
      <vt:lpstr>DIFFERENTIATION_TARIFF_AREA_ID</vt:lpstr>
      <vt:lpstr>DIFFERENTIATION_TARIFF_VD_ID</vt:lpstr>
      <vt:lpstr>DIFFERENTIATION_TARIFF_VTAR_ID</vt:lpstr>
      <vt:lpstr>DIFFERENTIATION_TKO_ADD_HL_CLASS_TKO_COLUMN_MARKER</vt:lpstr>
      <vt:lpstr>DIFFERENTIATION_TKO_ADD_HL_NTAR_COLUMN_MARKER</vt:lpstr>
      <vt:lpstr>DIFFERENTIATION_TKO_ADD_HL_TER_COLUMN_MARKER</vt:lpstr>
      <vt:lpstr>DIFFERENTIATION_TKO_ADD_HL_TO_COLUMN_MARKER</vt:lpstr>
      <vt:lpstr>DIFFERENTIATION_TKO_ADD_HL_TYPE_TKO_COLUMN_MARKER</vt:lpstr>
      <vt:lpstr>DIFFERENTIATION_TKO_ADD_HL_VTAR_COLUMN_MARKER</vt:lpstr>
      <vt:lpstr>DIFFERENTIATION_TKO_AREA_ID</vt:lpstr>
      <vt:lpstr>DIFFERENTIATION_TKO_DEL_HL_CLASS_TKO_COLUMN_MARKER</vt:lpstr>
      <vt:lpstr>DIFFERENTIATION_TKO_DEL_HL_NTAR_COLUMN_MARKER</vt:lpstr>
      <vt:lpstr>DIFFERENTIATION_TKO_DEL_HL_TER_COLUMN_MARKER</vt:lpstr>
      <vt:lpstr>DIFFERENTIATION_TKO_DEL_HL_TO_COLUMN_MARKER</vt:lpstr>
      <vt:lpstr>DIFFERENTIATION_TKO_DEL_HL_TYPE_TKO_COLUMN_MARKER</vt:lpstr>
      <vt:lpstr>DIFFERENTIATION_TKO_FLAG_DIFF_CLASS_TKO_ETC_COLUMN_MARKER</vt:lpstr>
      <vt:lpstr>DIFFERENTIATION_TKO_FLAG_DIFF_CLASS_TKO_TARIFF_COLUMN_MARKER</vt:lpstr>
      <vt:lpstr>DIFFERENTIATION_TKO_FLAG_DIFF_TER_ETC_COLUMN_MARKER</vt:lpstr>
      <vt:lpstr>DIFFERENTIATION_TKO_FLAG_DIFF_TER_TARIFF_COLUMN_MARKER</vt:lpstr>
      <vt:lpstr>DIFFERENTIATION_TKO_FLAG_DIFF_TO_ETC_COLUMN_MARKER</vt:lpstr>
      <vt:lpstr>DIFFERENTIATION_TKO_FLAG_DIFF_TO_TARIFF_COLUMN_MARKER</vt:lpstr>
      <vt:lpstr>DIFFERENTIATION_TKO_FLAG_DIFF_TYPE_TKO_ETC_COLUMN_MARKER</vt:lpstr>
      <vt:lpstr>DIFFERENTIATION_TKO_FLAG_DIFF_TYPE_TKO_TARIFF_COLUMN_MARKER</vt:lpstr>
      <vt:lpstr>DIFFERENTIATION_TKO_FLAG_VTAR_COLUMN_MARKER</vt:lpstr>
      <vt:lpstr>DIFFERENTIATION_TKO_TER_ID</vt:lpstr>
      <vt:lpstr>DIFFERENTIATION_UNMERGE_AREA</vt:lpstr>
      <vt:lpstr>DIFFERENTIATION_UNMERGE_SYSTEM</vt:lpstr>
      <vt:lpstr>DIFFERENTIATION_UNMERGE_VD</vt:lpstr>
      <vt:lpstr>DIFFERENTIATION_VD</vt:lpstr>
      <vt:lpstr>DIFFERENTIATION_VD_ID</vt:lpstr>
      <vt:lpstr>ED_DATE</vt:lpstr>
      <vt:lpstr>ED_DATE_PARKING</vt:lpstr>
      <vt:lpstr>ED_LINK</vt:lpstr>
      <vt:lpstr>EndDateList</vt:lpstr>
      <vt:lpstr>et_B_FHD20_1</vt:lpstr>
      <vt:lpstr>et_B_FHD20_1_HEAT</vt:lpstr>
      <vt:lpstr>et_B_FHD20_1_NOT_HEAT</vt:lpstr>
      <vt:lpstr>et_B_FHD20_2</vt:lpstr>
      <vt:lpstr>et_B_FHD20_3</vt:lpstr>
      <vt:lpstr>et_B_FHD20_4</vt:lpstr>
      <vt:lpstr>et_CHANGE_INFO</vt:lpstr>
      <vt:lpstr>et_COLDVSNA_TARIFF_A_COLDVSNA_CS</vt:lpstr>
      <vt:lpstr>et_COLDVSNA_TARIFF_A_COLDVSNA_DATA_DIFF</vt:lpstr>
      <vt:lpstr>et_COLDVSNA_TARIFF_A_COLDVSNA_FLAG_DIFF</vt:lpstr>
      <vt:lpstr>et_COLDVSNA_TARIFF_A_COLDVSNA_GC</vt:lpstr>
      <vt:lpstr>et_COLDVSNA_TARIFF_A_COLDVSNA_NTAR</vt:lpstr>
      <vt:lpstr>et_COLDVSNA_TARIFF_A_COLDVSNA_PERIOD_COLOR</vt:lpstr>
      <vt:lpstr>et_COLDVSNA_TARIFF_A_COLDVSNA_PERIOD_NOT_COLOR</vt:lpstr>
      <vt:lpstr>et_COLDVSNA_TARIFF_A_COLDVSNA_TER</vt:lpstr>
      <vt:lpstr>et_COLDVSNA_TARIFF_A_COLDVSNA_TN</vt:lpstr>
      <vt:lpstr>et_COLDVSNA_TARIFF_B_COLDVSNA_CS</vt:lpstr>
      <vt:lpstr>et_COLDVSNA_TARIFF_B_COLDVSNA_DATA_DIFF</vt:lpstr>
      <vt:lpstr>et_COLDVSNA_TARIFF_B_COLDVSNA_FLAG_DIFF</vt:lpstr>
      <vt:lpstr>et_COLDVSNA_TARIFF_B_COLDVSNA_GC</vt:lpstr>
      <vt:lpstr>et_COLDVSNA_TARIFF_B_COLDVSNA_NTAR</vt:lpstr>
      <vt:lpstr>et_COLDVSNA_TARIFF_B_COLDVSNA_PERIOD_COLOR</vt:lpstr>
      <vt:lpstr>et_COLDVSNA_TARIFF_B_COLDVSNA_PERIOD_NOT_COLOR</vt:lpstr>
      <vt:lpstr>et_COLDVSNA_TARIFF_B_COLDVSNA_TER</vt:lpstr>
      <vt:lpstr>et_COLDVSNA_TARIFF_C_COLDVSNA_CS</vt:lpstr>
      <vt:lpstr>et_COLDVSNA_TARIFF_C_COLDVSNA_DATA_DIFF</vt:lpstr>
      <vt:lpstr>et_COLDVSNA_TARIFF_C_COLDVSNA_FLAG_DIFF</vt:lpstr>
      <vt:lpstr>et_COLDVSNA_TARIFF_C_COLDVSNA_GC</vt:lpstr>
      <vt:lpstr>et_COLDVSNA_TARIFF_C_COLDVSNA_NTAR</vt:lpstr>
      <vt:lpstr>et_COLDVSNA_TARIFF_C_COLDVSNA_PERIOD_COLOR</vt:lpstr>
      <vt:lpstr>et_COLDVSNA_TARIFF_C_COLDVSNA_PERIOD_NOT_COLOR</vt:lpstr>
      <vt:lpstr>et_COLDVSNA_TARIFF_C_COLDVSNA_TER</vt:lpstr>
      <vt:lpstr>et_COLDVSNA_TARIFF_D_COLDVSNA_CS</vt:lpstr>
      <vt:lpstr>et_COLDVSNA_TARIFF_D_COLDVSNA_DATA_DIFF</vt:lpstr>
      <vt:lpstr>et_COLDVSNA_TARIFF_D_COLDVSNA_FLAG_DIFF</vt:lpstr>
      <vt:lpstr>et_COLDVSNA_TARIFF_D_COLDVSNA_GC</vt:lpstr>
      <vt:lpstr>et_COLDVSNA_TARIFF_D_COLDVSNA_NTAR</vt:lpstr>
      <vt:lpstr>et_COLDVSNA_TARIFF_D_COLDVSNA_PERIOD_COLOR</vt:lpstr>
      <vt:lpstr>et_COLDVSNA_TARIFF_D_COLDVSNA_PERIOD_NOT_COLOR</vt:lpstr>
      <vt:lpstr>et_COLDVSNA_TARIFF_D_COLDVSNA_TER</vt:lpstr>
      <vt:lpstr>et_COLDVSNA_TARIFF_E_COLDVSNA_CS</vt:lpstr>
      <vt:lpstr>et_COLDVSNA_TARIFF_E_COLDVSNA_DATA_DIFF</vt:lpstr>
      <vt:lpstr>et_COLDVSNA_TARIFF_E_COLDVSNA_DIAMETERS</vt:lpstr>
      <vt:lpstr>et_COLDVSNA_TARIFF_E_COLDVSNA_FLAG_DIFF</vt:lpstr>
      <vt:lpstr>et_COLDVSNA_TARIFF_E_COLDVSNA_GC</vt:lpstr>
      <vt:lpstr>et_COLDVSNA_TARIFF_E_COLDVSNA_LEN</vt:lpstr>
      <vt:lpstr>et_COLDVSNA_TARIFF_E_COLDVSNA_LOAD</vt:lpstr>
      <vt:lpstr>et_COLDVSNA_TARIFF_E_COLDVSNA_NETS</vt:lpstr>
      <vt:lpstr>et_COLDVSNA_TARIFF_E_COLDVSNA_NTAR</vt:lpstr>
      <vt:lpstr>et_COLDVSNA_TARIFF_E_COLDVSNA_PERIOD_COLOR</vt:lpstr>
      <vt:lpstr>et_COLDVSNA_TARIFF_E_COLDVSNA_PERIOD_NOT_COLOR</vt:lpstr>
      <vt:lpstr>et_COLDVSNA_TARIFF_E_COLDVSNA_TER</vt:lpstr>
      <vt:lpstr>et_Comm</vt:lpstr>
      <vt:lpstr>et_DIFFERENTIATION_AREA</vt:lpstr>
      <vt:lpstr>et_DIFFERENTIATION_SYSTEM</vt:lpstr>
      <vt:lpstr>et_DIFFERENTIATION_TARIFF_COLOR</vt:lpstr>
      <vt:lpstr>et_DIFFERENTIATION_TARIFF_CS</vt:lpstr>
      <vt:lpstr>et_DIFFERENTIATION_TARIFF_IST_TE</vt:lpstr>
      <vt:lpstr>et_DIFFERENTIATION_TARIFF_NOT_COLOR</vt:lpstr>
      <vt:lpstr>et_DIFFERENTIATION_TARIFF_NOT_HEAT_COLOR</vt:lpstr>
      <vt:lpstr>et_DIFFERENTIATION_TARIFF_NOT_HEAT_CS</vt:lpstr>
      <vt:lpstr>et_DIFFERENTIATION_TARIFF_NOT_HEAT_NTAR</vt:lpstr>
      <vt:lpstr>et_DIFFERENTIATION_TARIFF_NOT_HEAT_TER</vt:lpstr>
      <vt:lpstr>et_DIFFERENTIATION_TARIFF_NOT_HEAT_VTAR</vt:lpstr>
      <vt:lpstr>et_DIFFERENTIATION_TARIFF_NTAR</vt:lpstr>
      <vt:lpstr>et_DIFFERENTIATION_TARIFF_TER</vt:lpstr>
      <vt:lpstr>et_DIFFERENTIATION_TARIFF_VTAR</vt:lpstr>
      <vt:lpstr>et_DIFFERENTIATION_TKO_CLASS_TKO</vt:lpstr>
      <vt:lpstr>et_DIFFERENTIATION_TKO_COLOR</vt:lpstr>
      <vt:lpstr>et_DIFFERENTIATION_TKO_NOT_COLOR</vt:lpstr>
      <vt:lpstr>et_DIFFERENTIATION_TKO_NTAR</vt:lpstr>
      <vt:lpstr>et_DIFFERENTIATION_TKO_TER</vt:lpstr>
      <vt:lpstr>et_DIFFERENTIATION_TKO_TO</vt:lpstr>
      <vt:lpstr>et_DIFFERENTIATION_TKO_TYPE_TKO</vt:lpstr>
      <vt:lpstr>et_DIFFERENTIATION_TKO_VTAR</vt:lpstr>
      <vt:lpstr>et_DIFFERENTIATION_VD</vt:lpstr>
      <vt:lpstr>et_ED</vt:lpstr>
      <vt:lpstr>et_HEAT_TARIFF_A_CS</vt:lpstr>
      <vt:lpstr>et_HEAT_TARIFF_A_GC</vt:lpstr>
      <vt:lpstr>et_HEAT_TARIFF_A_IST_TE</vt:lpstr>
      <vt:lpstr>et_HEAT_TARIFF_A_NTAR</vt:lpstr>
      <vt:lpstr>et_HEAT_TARIFF_A_PERIOD_COLOR</vt:lpstr>
      <vt:lpstr>et_HEAT_TARIFF_A_PERIOD_NOT_COLOR</vt:lpstr>
      <vt:lpstr>et_HEAT_TARIFF_A_SCHEME</vt:lpstr>
      <vt:lpstr>et_HEAT_TARIFF_A_TER</vt:lpstr>
      <vt:lpstr>et_HEAT_TARIFF_A_TN</vt:lpstr>
      <vt:lpstr>et_HEAT_TARIFF_B_CS</vt:lpstr>
      <vt:lpstr>et_HEAT_TARIFF_B_GC</vt:lpstr>
      <vt:lpstr>et_HEAT_TARIFF_B_IST_TE</vt:lpstr>
      <vt:lpstr>et_HEAT_TARIFF_B_NTAR</vt:lpstr>
      <vt:lpstr>et_HEAT_TARIFF_B_PERIOD_COLOR</vt:lpstr>
      <vt:lpstr>et_HEAT_TARIFF_B_PERIOD_NOT_COLOR</vt:lpstr>
      <vt:lpstr>et_HEAT_TARIFF_B_SCHEME</vt:lpstr>
      <vt:lpstr>et_HEAT_TARIFF_B_TER</vt:lpstr>
      <vt:lpstr>et_HEAT_TARIFF_B_TN</vt:lpstr>
      <vt:lpstr>et_HEAT_TARIFF_C_CS</vt:lpstr>
      <vt:lpstr>et_HEAT_TARIFF_C_GC</vt:lpstr>
      <vt:lpstr>et_HEAT_TARIFF_C_IST_TE</vt:lpstr>
      <vt:lpstr>et_HEAT_TARIFF_C_NTAR</vt:lpstr>
      <vt:lpstr>et_HEAT_TARIFF_C_PERIOD_COLOR</vt:lpstr>
      <vt:lpstr>et_HEAT_TARIFF_C_PERIOD_NOT_COLOR</vt:lpstr>
      <vt:lpstr>et_HEAT_TARIFF_C_SCHEME</vt:lpstr>
      <vt:lpstr>et_HEAT_TARIFF_C_TER</vt:lpstr>
      <vt:lpstr>et_HEAT_TARIFF_C_TN</vt:lpstr>
      <vt:lpstr>et_HEAT_TARIFF_D_CONS</vt:lpstr>
      <vt:lpstr>et_HEAT_TARIFF_D_CS</vt:lpstr>
      <vt:lpstr>et_HEAT_TARIFF_D_GC</vt:lpstr>
      <vt:lpstr>et_HEAT_TARIFF_D_IST_TE</vt:lpstr>
      <vt:lpstr>et_HEAT_TARIFF_D_NTAR</vt:lpstr>
      <vt:lpstr>et_HEAT_TARIFF_D_PERIOD_COLOR</vt:lpstr>
      <vt:lpstr>et_HEAT_TARIFF_D_PERIOD_NOT_COLOR</vt:lpstr>
      <vt:lpstr>et_HEAT_TARIFF_D_SCHEME</vt:lpstr>
      <vt:lpstr>et_HEAT_TARIFF_D_TER</vt:lpstr>
      <vt:lpstr>et_HEAT_TARIFF_D_TN</vt:lpstr>
      <vt:lpstr>et_HEAT_TARIFF_E1_CS</vt:lpstr>
      <vt:lpstr>et_HEAT_TARIFF_E1_GC</vt:lpstr>
      <vt:lpstr>et_HEAT_TARIFF_E1_IST_TE</vt:lpstr>
      <vt:lpstr>et_HEAT_TARIFF_E1_NTAR</vt:lpstr>
      <vt:lpstr>et_HEAT_TARIFF_E1_PERIOD_COLOR</vt:lpstr>
      <vt:lpstr>et_HEAT_TARIFF_E1_PERIOD_NOT_COLOR</vt:lpstr>
      <vt:lpstr>et_HEAT_TARIFF_E1_SCHEME</vt:lpstr>
      <vt:lpstr>et_HEAT_TARIFF_E1_TER</vt:lpstr>
      <vt:lpstr>et_HEAT_TARIFF_E1_TN</vt:lpstr>
      <vt:lpstr>et_HEAT_TARIFF_E2_CS</vt:lpstr>
      <vt:lpstr>et_HEAT_TARIFF_E2_GC</vt:lpstr>
      <vt:lpstr>et_HEAT_TARIFF_E2_IST_TE</vt:lpstr>
      <vt:lpstr>et_HEAT_TARIFF_E2_NTAR</vt:lpstr>
      <vt:lpstr>et_HEAT_TARIFF_E2_PERIOD_COLOR</vt:lpstr>
      <vt:lpstr>et_HEAT_TARIFF_E2_PERIOD_NOT_COLOR</vt:lpstr>
      <vt:lpstr>et_HEAT_TARIFF_E2_SCHEME</vt:lpstr>
      <vt:lpstr>et_HEAT_TARIFF_E2_TER</vt:lpstr>
      <vt:lpstr>et_HEAT_TARIFF_E2_TN</vt:lpstr>
      <vt:lpstr>et_HEAT_TARIFF_F_CS</vt:lpstr>
      <vt:lpstr>et_HEAT_TARIFF_F_GC</vt:lpstr>
      <vt:lpstr>et_HEAT_TARIFF_F_IST_TE</vt:lpstr>
      <vt:lpstr>et_HEAT_TARIFF_F_NTAR</vt:lpstr>
      <vt:lpstr>et_HEAT_TARIFF_F_PERIOD_COLOR</vt:lpstr>
      <vt:lpstr>et_HEAT_TARIFF_F_PERIOD_NOT_COLOR</vt:lpstr>
      <vt:lpstr>et_HEAT_TARIFF_F_SCHEME</vt:lpstr>
      <vt:lpstr>et_HEAT_TARIFF_F_TER</vt:lpstr>
      <vt:lpstr>et_HEAT_TARIFF_F_TN</vt:lpstr>
      <vt:lpstr>et_HEAT_TARIFF_G_CS</vt:lpstr>
      <vt:lpstr>et_HEAT_TARIFF_G_DIAMETERS</vt:lpstr>
      <vt:lpstr>et_HEAT_TARIFF_G_GC</vt:lpstr>
      <vt:lpstr>et_HEAT_TARIFF_G_IST_TE</vt:lpstr>
      <vt:lpstr>et_HEAT_TARIFF_G_LOAD</vt:lpstr>
      <vt:lpstr>et_HEAT_TARIFF_G_NETS</vt:lpstr>
      <vt:lpstr>et_HEAT_TARIFF_G_NTAR</vt:lpstr>
      <vt:lpstr>et_HEAT_TARIFF_G_PERIOD_COLOR</vt:lpstr>
      <vt:lpstr>et_HEAT_TARIFF_G_PERIOD_NOT_COLOR</vt:lpstr>
      <vt:lpstr>et_HEAT_TARIFF_G_SCHEME</vt:lpstr>
      <vt:lpstr>et_HEAT_TARIFF_G_TER</vt:lpstr>
      <vt:lpstr>et_HEAT_TARIFF_G_TN</vt:lpstr>
      <vt:lpstr>et_hor_B_FHD_1</vt:lpstr>
      <vt:lpstr>et_hor_B_FHD_2</vt:lpstr>
      <vt:lpstr>et_hor_B_FHD_3</vt:lpstr>
      <vt:lpstr>et_hor_B_FHD_4</vt:lpstr>
      <vt:lpstr>et_hor_B_FHD_5</vt:lpstr>
      <vt:lpstr>et_hor_B_FHD_6</vt:lpstr>
      <vt:lpstr>et_hor_B_FHD_TKO_2</vt:lpstr>
      <vt:lpstr>et_hor_B_FHD_TKO_TRANS_2</vt:lpstr>
      <vt:lpstr>et_hor_Q_LIMIT_1</vt:lpstr>
      <vt:lpstr>et_hor_Q_LIMIT_2</vt:lpstr>
      <vt:lpstr>et_hor_Q_LIMIT_3</vt:lpstr>
      <vt:lpstr>et_hor_Q_LIMIT_4</vt:lpstr>
      <vt:lpstr>et_hor_Q_TP_1</vt:lpstr>
      <vt:lpstr>et_HOTVSNA_TARIFF_A_HOTVSNA_CS</vt:lpstr>
      <vt:lpstr>et_HOTVSNA_TARIFF_A_HOTVSNA_DATA_DIFF</vt:lpstr>
      <vt:lpstr>et_HOTVSNA_TARIFF_A_HOTVSNA_FLAG_DIFF</vt:lpstr>
      <vt:lpstr>et_HOTVSNA_TARIFF_A_HOTVSNA_GC</vt:lpstr>
      <vt:lpstr>et_HOTVSNA_TARIFF_A_HOTVSNA_NTAR</vt:lpstr>
      <vt:lpstr>et_HOTVSNA_TARIFF_A_HOTVSNA_PERIOD_COLOR</vt:lpstr>
      <vt:lpstr>et_HOTVSNA_TARIFF_A_HOTVSNA_PERIOD_NOT_COLOR</vt:lpstr>
      <vt:lpstr>et_HOTVSNA_TARIFF_A_HOTVSNA_TER</vt:lpstr>
      <vt:lpstr>et_HOTVSNA_TARIFF_A_HOTVSNA_TN</vt:lpstr>
      <vt:lpstr>et_HOTVSNA_TARIFF_B_HOTVSNA_CS</vt:lpstr>
      <vt:lpstr>et_HOTVSNA_TARIFF_B_HOTVSNA_DATA_DIFF</vt:lpstr>
      <vt:lpstr>et_HOTVSNA_TARIFF_B_HOTVSNA_FLAG_DIFF</vt:lpstr>
      <vt:lpstr>et_HOTVSNA_TARIFF_B_HOTVSNA_GC</vt:lpstr>
      <vt:lpstr>et_HOTVSNA_TARIFF_B_HOTVSNA_NTAR</vt:lpstr>
      <vt:lpstr>et_HOTVSNA_TARIFF_B_HOTVSNA_PERIOD_COLOR</vt:lpstr>
      <vt:lpstr>et_HOTVSNA_TARIFF_B_HOTVSNA_PERIOD_NOT_COLOR</vt:lpstr>
      <vt:lpstr>et_HOTVSNA_TARIFF_B_HOTVSNA_TER</vt:lpstr>
      <vt:lpstr>et_HOTVSNA_TARIFF_B_HOTVSNA_TN</vt:lpstr>
      <vt:lpstr>et_HOTVSNA_TARIFF_C_HOTVSNA_CS</vt:lpstr>
      <vt:lpstr>et_HOTVSNA_TARIFF_C_HOTVSNA_DATA_DIFF</vt:lpstr>
      <vt:lpstr>et_HOTVSNA_TARIFF_C_HOTVSNA_DIAMETERS</vt:lpstr>
      <vt:lpstr>et_HOTVSNA_TARIFF_C_HOTVSNA_FLAG_DIFF</vt:lpstr>
      <vt:lpstr>et_HOTVSNA_TARIFF_C_HOTVSNA_GC</vt:lpstr>
      <vt:lpstr>et_HOTVSNA_TARIFF_C_HOTVSNA_LEN</vt:lpstr>
      <vt:lpstr>et_HOTVSNA_TARIFF_C_HOTVSNA_LOAD</vt:lpstr>
      <vt:lpstr>et_HOTVSNA_TARIFF_C_HOTVSNA_NETS</vt:lpstr>
      <vt:lpstr>et_HOTVSNA_TARIFF_C_HOTVSNA_NTAR</vt:lpstr>
      <vt:lpstr>et_HOTVSNA_TARIFF_C_HOTVSNA_PERIOD_COLOR</vt:lpstr>
      <vt:lpstr>et_HOTVSNA_TARIFF_C_HOTVSNA_PERIOD_NOT_COLOR</vt:lpstr>
      <vt:lpstr>et_HOTVSNA_TARIFF_C_HOTVSNA_TER</vt:lpstr>
      <vt:lpstr>et_IP_DETAILED</vt:lpstr>
      <vt:lpstr>et_IP_DETAILED_EVENT</vt:lpstr>
      <vt:lpstr>et_IP_DETAILED_IST_FIN</vt:lpstr>
      <vt:lpstr>et_IP_DETAILED_OBJECT</vt:lpstr>
      <vt:lpstr>et_IP_DETAILED_YEAR</vt:lpstr>
      <vt:lpstr>et_IP_MAIN</vt:lpstr>
      <vt:lpstr>et_IP_MAIN_PROPERTY</vt:lpstr>
      <vt:lpstr>et_IP_QRE</vt:lpstr>
      <vt:lpstr>et_IP_QRE_CLAIM</vt:lpstr>
      <vt:lpstr>et_List02</vt:lpstr>
      <vt:lpstr>et_List02_1_wd</vt:lpstr>
      <vt:lpstr>et_List02_2_wd</vt:lpstr>
      <vt:lpstr>et_List02_3_wd</vt:lpstr>
      <vt:lpstr>et_List02_4_wd</vt:lpstr>
      <vt:lpstr>et_List02_changeColor_1</vt:lpstr>
      <vt:lpstr>et_List02_changeColor_1_wd</vt:lpstr>
      <vt:lpstr>et_List02_changeColor_2</vt:lpstr>
      <vt:lpstr>et_List02_changeColor_2_wd</vt:lpstr>
      <vt:lpstr>et_List02_changeColor_3</vt:lpstr>
      <vt:lpstr>et_List02_changeColor_3_wd</vt:lpstr>
      <vt:lpstr>et_List02_changeColor_4</vt:lpstr>
      <vt:lpstr>et_List02_changeColor_4_wd</vt:lpstr>
      <vt:lpstr>et_List02_wd</vt:lpstr>
      <vt:lpstr>et_ORG_INFO_1</vt:lpstr>
      <vt:lpstr>et_ORG_INFO_2</vt:lpstr>
      <vt:lpstr>et_ORG_TERRITORY_MO</vt:lpstr>
      <vt:lpstr>et_ORG_TERRITORY_MO_FLAG_INTERNET</vt:lpstr>
      <vt:lpstr>et_ORG_TERRITORY_MO_LINK</vt:lpstr>
      <vt:lpstr>et_ORG_VD</vt:lpstr>
      <vt:lpstr>et_ORG_VD_COLDVSNA</vt:lpstr>
      <vt:lpstr>et_ORG_VD_FIRST_SYSTEM</vt:lpstr>
      <vt:lpstr>et_ORG_VD_HEAT</vt:lpstr>
      <vt:lpstr>et_ORG_VD_HOTVSNA</vt:lpstr>
      <vt:lpstr>et_ORG_VD_TKO_ACTIVITY</vt:lpstr>
      <vt:lpstr>et_ORG_VD_TKO_TYPE_OBJECT</vt:lpstr>
      <vt:lpstr>et_ORG_VD_VOTV</vt:lpstr>
      <vt:lpstr>et_P_PROCEDURE_TC_1</vt:lpstr>
      <vt:lpstr>et_P_PROCEDURE_TC_2</vt:lpstr>
      <vt:lpstr>et_P_PROCEDURE_TC_3</vt:lpstr>
      <vt:lpstr>et_P_PROCEDURE_TC_4</vt:lpstr>
      <vt:lpstr>et_P_PROCEDURE_TC_5</vt:lpstr>
      <vt:lpstr>et_P_T_TERMS</vt:lpstr>
      <vt:lpstr>et_Q_TP_DIFFERENTIATION</vt:lpstr>
      <vt:lpstr>et_QRE</vt:lpstr>
      <vt:lpstr>et_QRE_CLAIM</vt:lpstr>
      <vt:lpstr>et_R_B_Purch</vt:lpstr>
      <vt:lpstr>et_ROIV_CASE_case</vt:lpstr>
      <vt:lpstr>et_ROIV_INFO_phone</vt:lpstr>
      <vt:lpstr>et_ROIV_ORG_org</vt:lpstr>
      <vt:lpstr>et_ROIV_OTV_DL</vt:lpstr>
      <vt:lpstr>et_ROIV_OTV_org</vt:lpstr>
      <vt:lpstr>et_TERMS</vt:lpstr>
      <vt:lpstr>et_TERRITORY_AREA</vt:lpstr>
      <vt:lpstr>et_TERRITORY_MO</vt:lpstr>
      <vt:lpstr>et_ver_B_FHD_DIFFERENTIATION</vt:lpstr>
      <vt:lpstr>et_ver_B_FHD_TKO_DIFFERENTIATION</vt:lpstr>
      <vt:lpstr>et_ver_B_FHD_TKO_TRANS_DIFFERENTIATION</vt:lpstr>
      <vt:lpstr>et_ver_B_KNE_DIFFERENTIATION</vt:lpstr>
      <vt:lpstr>et_ver_COLDVSNA_TARIFF_A_COLDVSNA</vt:lpstr>
      <vt:lpstr>et_ver_COLDVSNA_TARIFF_B_COLDVSNA</vt:lpstr>
      <vt:lpstr>et_ver_COLDVSNA_TARIFF_C_COLDVSNA</vt:lpstr>
      <vt:lpstr>et_ver_COLDVSNA_TARIFF_D_COLDVSNA</vt:lpstr>
      <vt:lpstr>et_ver_COLDVSNA_TARIFF_E_COLDVSNA</vt:lpstr>
      <vt:lpstr>et_ver_HEAT_TARIFF_A</vt:lpstr>
      <vt:lpstr>et_ver_HEAT_TARIFF_B</vt:lpstr>
      <vt:lpstr>et_ver_HEAT_TARIFF_C</vt:lpstr>
      <vt:lpstr>et_ver_HEAT_TARIFF_D</vt:lpstr>
      <vt:lpstr>et_ver_HEAT_TARIFF_E1</vt:lpstr>
      <vt:lpstr>et_ver_HEAT_TARIFF_E2</vt:lpstr>
      <vt:lpstr>et_ver_HEAT_TARIFF_F</vt:lpstr>
      <vt:lpstr>et_ver_HEAT_TARIFF_G</vt:lpstr>
      <vt:lpstr>et_ver_HOTVSNA_TARIFF_A_HOTVSNA</vt:lpstr>
      <vt:lpstr>et_ver_HOTVSNA_TARIFF_B_HOTVSNA</vt:lpstr>
      <vt:lpstr>et_ver_HOTVSNA_TARIFF_C_HOTVSNA</vt:lpstr>
      <vt:lpstr>et_ver_IP_FIN_PLAN</vt:lpstr>
      <vt:lpstr>et_ver_IP_FIN_PLAN_YEAR</vt:lpstr>
      <vt:lpstr>et_ver_Q_LIMIT_DIFFERENTIATION</vt:lpstr>
      <vt:lpstr>et_ver_Q_PH_DIFFERENTIATION</vt:lpstr>
      <vt:lpstr>et_ver_Q_TP_DIFFERENTIATION</vt:lpstr>
      <vt:lpstr>et_ver_VOTV_TARIFF_A_VOTV</vt:lpstr>
      <vt:lpstr>et_ver_VOTV_TARIFF_B_VOTV</vt:lpstr>
      <vt:lpstr>et_ver_VOTV_TARIFF_C_VOTV</vt:lpstr>
      <vt:lpstr>et_VOTV_TARIFF_A_VOTV_CS</vt:lpstr>
      <vt:lpstr>et_VOTV_TARIFF_A_VOTV_DATA_DIFF</vt:lpstr>
      <vt:lpstr>et_VOTV_TARIFF_A_VOTV_FLAG_DIFF</vt:lpstr>
      <vt:lpstr>et_VOTV_TARIFF_A_VOTV_GC</vt:lpstr>
      <vt:lpstr>et_VOTV_TARIFF_A_VOTV_NTAR</vt:lpstr>
      <vt:lpstr>et_VOTV_TARIFF_A_VOTV_PERIOD_COLOR</vt:lpstr>
      <vt:lpstr>et_VOTV_TARIFF_A_VOTV_PERIOD_NOT_COLOR</vt:lpstr>
      <vt:lpstr>et_VOTV_TARIFF_A_VOTV_TER</vt:lpstr>
      <vt:lpstr>et_VOTV_TARIFF_A_VOTV_TN</vt:lpstr>
      <vt:lpstr>et_VOTV_TARIFF_B_VOTV_CS</vt:lpstr>
      <vt:lpstr>et_VOTV_TARIFF_B_VOTV_DATA_DIFF</vt:lpstr>
      <vt:lpstr>et_VOTV_TARIFF_B_VOTV_FLAG_DIFF</vt:lpstr>
      <vt:lpstr>et_VOTV_TARIFF_B_VOTV_GC</vt:lpstr>
      <vt:lpstr>et_VOTV_TARIFF_B_VOTV_NTAR</vt:lpstr>
      <vt:lpstr>et_VOTV_TARIFF_B_VOTV_PERIOD_COLOR</vt:lpstr>
      <vt:lpstr>et_VOTV_TARIFF_B_VOTV_PERIOD_NOT_COLOR</vt:lpstr>
      <vt:lpstr>et_VOTV_TARIFF_B_VOTV_TER</vt:lpstr>
      <vt:lpstr>et_VOTV_TARIFF_B_VOTV_TN</vt:lpstr>
      <vt:lpstr>et_VOTV_TARIFF_C_VOTV_CS</vt:lpstr>
      <vt:lpstr>et_VOTV_TARIFF_C_VOTV_DATA_DIFF</vt:lpstr>
      <vt:lpstr>et_VOTV_TARIFF_C_VOTV_DIAMETERS</vt:lpstr>
      <vt:lpstr>et_VOTV_TARIFF_C_VOTV_FLAG_DIFF</vt:lpstr>
      <vt:lpstr>et_VOTV_TARIFF_C_VOTV_GC</vt:lpstr>
      <vt:lpstr>et_VOTV_TARIFF_C_VOTV_LEN</vt:lpstr>
      <vt:lpstr>et_VOTV_TARIFF_C_VOTV_LOAD</vt:lpstr>
      <vt:lpstr>et_VOTV_TARIFF_C_VOTV_NETS</vt:lpstr>
      <vt:lpstr>et_VOTV_TARIFF_C_VOTV_NTAR</vt:lpstr>
      <vt:lpstr>et_VOTV_TARIFF_C_VOTV_PERIOD_COLOR</vt:lpstr>
      <vt:lpstr>et_VOTV_TARIFF_C_VOTV_PERIOD_NOT_COLOR</vt:lpstr>
      <vt:lpstr>et_VOTV_TARIFF_C_VOTV_TER</vt:lpstr>
      <vt:lpstr>f_quart</vt:lpstr>
      <vt:lpstr>f_year</vt:lpstr>
      <vt:lpstr>FHD_NAME_FORM</vt:lpstr>
      <vt:lpstr>FHD_NOTE_P_1</vt:lpstr>
      <vt:lpstr>FHD_NOTE_P_10</vt:lpstr>
      <vt:lpstr>FHD_NOTE_P_11</vt:lpstr>
      <vt:lpstr>FHD_NOTE_P_12</vt:lpstr>
      <vt:lpstr>FHD_NOTE_P_13</vt:lpstr>
      <vt:lpstr>FHD_NOTE_P_14</vt:lpstr>
      <vt:lpstr>FHD_NOTE_P_15</vt:lpstr>
      <vt:lpstr>FHD_NOTE_P_16</vt:lpstr>
      <vt:lpstr>FHD_NOTE_P_17</vt:lpstr>
      <vt:lpstr>FHD_NOTE_P_18</vt:lpstr>
      <vt:lpstr>FHD_NOTE_P_19</vt:lpstr>
      <vt:lpstr>FHD_NOTE_P_2</vt:lpstr>
      <vt:lpstr>FHD_NOTE_P_20</vt:lpstr>
      <vt:lpstr>FHD_NOTE_P_21</vt:lpstr>
      <vt:lpstr>FHD_NOTE_P_22</vt:lpstr>
      <vt:lpstr>FHD_NOTE_P_23</vt:lpstr>
      <vt:lpstr>FHD_NOTE_P_24</vt:lpstr>
      <vt:lpstr>FHD_NOTE_P_25</vt:lpstr>
      <vt:lpstr>FHD_NOTE_P_26</vt:lpstr>
      <vt:lpstr>FHD_NOTE_P_27</vt:lpstr>
      <vt:lpstr>FHD_NOTE_P_28</vt:lpstr>
      <vt:lpstr>FHD_NOTE_P_29</vt:lpstr>
      <vt:lpstr>FHD_NOTE_P_3</vt:lpstr>
      <vt:lpstr>FHD_NOTE_P_30</vt:lpstr>
      <vt:lpstr>FHD_NOTE_P_31</vt:lpstr>
      <vt:lpstr>FHD_NOTE_P_32</vt:lpstr>
      <vt:lpstr>FHD_NOTE_P_33</vt:lpstr>
      <vt:lpstr>FHD_NOTE_P_34</vt:lpstr>
      <vt:lpstr>FHD_NOTE_P_35</vt:lpstr>
      <vt:lpstr>FHD_NOTE_P_36</vt:lpstr>
      <vt:lpstr>FHD_NOTE_P_37</vt:lpstr>
      <vt:lpstr>FHD_NOTE_P_38</vt:lpstr>
      <vt:lpstr>FHD_NOTE_P_39</vt:lpstr>
      <vt:lpstr>FHD_NOTE_P_4</vt:lpstr>
      <vt:lpstr>FHD_NOTE_P_40</vt:lpstr>
      <vt:lpstr>FHD_NOTE_P_41</vt:lpstr>
      <vt:lpstr>FHD_NOTE_P_42</vt:lpstr>
      <vt:lpstr>FHD_NOTE_P_43</vt:lpstr>
      <vt:lpstr>FHD_NOTE_P_44</vt:lpstr>
      <vt:lpstr>FHD_NOTE_P_45</vt:lpstr>
      <vt:lpstr>FHD_NOTE_P_46</vt:lpstr>
      <vt:lpstr>FHD_NOTE_P_47</vt:lpstr>
      <vt:lpstr>FHD_NOTE_P_48</vt:lpstr>
      <vt:lpstr>FHD_NOTE_P_49</vt:lpstr>
      <vt:lpstr>FHD_NOTE_P_5</vt:lpstr>
      <vt:lpstr>FHD_NOTE_P_50</vt:lpstr>
      <vt:lpstr>FHD_NOTE_P_51</vt:lpstr>
      <vt:lpstr>FHD_NOTE_P_52</vt:lpstr>
      <vt:lpstr>FHD_NOTE_P_53</vt:lpstr>
      <vt:lpstr>FHD_NOTE_P_54</vt:lpstr>
      <vt:lpstr>FHD_NOTE_P_55</vt:lpstr>
      <vt:lpstr>FHD_NOTE_P_56</vt:lpstr>
      <vt:lpstr>FHD_NOTE_P_57</vt:lpstr>
      <vt:lpstr>FHD_NOTE_P_58</vt:lpstr>
      <vt:lpstr>FHD_NOTE_P_59</vt:lpstr>
      <vt:lpstr>FHD_NOTE_P_6</vt:lpstr>
      <vt:lpstr>FHD_NOTE_P_60</vt:lpstr>
      <vt:lpstr>FHD_NOTE_P_61</vt:lpstr>
      <vt:lpstr>FHD_NOTE_P_62</vt:lpstr>
      <vt:lpstr>FHD_NOTE_P_63</vt:lpstr>
      <vt:lpstr>FHD_NOTE_P_64</vt:lpstr>
      <vt:lpstr>FHD_NOTE_P_65</vt:lpstr>
      <vt:lpstr>FHD_NOTE_P_66</vt:lpstr>
      <vt:lpstr>FHD_NOTE_P_67</vt:lpstr>
      <vt:lpstr>FHD_NOTE_P_68</vt:lpstr>
      <vt:lpstr>FHD_NOTE_P_69</vt:lpstr>
      <vt:lpstr>FHD_NOTE_P_7</vt:lpstr>
      <vt:lpstr>FHD_NOTE_P_70</vt:lpstr>
      <vt:lpstr>FHD_NOTE_P_71</vt:lpstr>
      <vt:lpstr>FHD_NOTE_P_72</vt:lpstr>
      <vt:lpstr>FHD_NOTE_P_73</vt:lpstr>
      <vt:lpstr>FHD_NOTE_P_74</vt:lpstr>
      <vt:lpstr>FHD_NOTE_P_75</vt:lpstr>
      <vt:lpstr>FHD_NOTE_P_76</vt:lpstr>
      <vt:lpstr>FHD_NOTE_P_77</vt:lpstr>
      <vt:lpstr>FHD_NOTE_P_78</vt:lpstr>
      <vt:lpstr>FHD_NOTE_P_79</vt:lpstr>
      <vt:lpstr>FHD_NOTE_P_8</vt:lpstr>
      <vt:lpstr>FHD_NOTE_P_80</vt:lpstr>
      <vt:lpstr>FHD_NOTE_P_81</vt:lpstr>
      <vt:lpstr>FHD_NOTE_P_82</vt:lpstr>
      <vt:lpstr>FHD_NOTE_P_83</vt:lpstr>
      <vt:lpstr>FHD_NOTE_P_84</vt:lpstr>
      <vt:lpstr>FHD_NOTE_P_9</vt:lpstr>
      <vt:lpstr>FHD_NUM_P_1</vt:lpstr>
      <vt:lpstr>FHD_NUM_P_10</vt:lpstr>
      <vt:lpstr>FHD_NUM_P_11</vt:lpstr>
      <vt:lpstr>FHD_NUM_P_12</vt:lpstr>
      <vt:lpstr>FHD_NUM_P_13</vt:lpstr>
      <vt:lpstr>FHD_NUM_P_14</vt:lpstr>
      <vt:lpstr>FHD_NUM_P_15</vt:lpstr>
      <vt:lpstr>FHD_NUM_P_16</vt:lpstr>
      <vt:lpstr>FHD_NUM_P_17</vt:lpstr>
      <vt:lpstr>FHD_NUM_P_18</vt:lpstr>
      <vt:lpstr>FHD_NUM_P_19</vt:lpstr>
      <vt:lpstr>FHD_NUM_P_2</vt:lpstr>
      <vt:lpstr>FHD_NUM_P_20</vt:lpstr>
      <vt:lpstr>FHD_NUM_P_21</vt:lpstr>
      <vt:lpstr>FHD_NUM_P_22</vt:lpstr>
      <vt:lpstr>FHD_NUM_P_23</vt:lpstr>
      <vt:lpstr>FHD_NUM_P_24</vt:lpstr>
      <vt:lpstr>FHD_NUM_P_25</vt:lpstr>
      <vt:lpstr>FHD_NUM_P_26</vt:lpstr>
      <vt:lpstr>FHD_NUM_P_27</vt:lpstr>
      <vt:lpstr>FHD_NUM_P_28</vt:lpstr>
      <vt:lpstr>FHD_NUM_P_29</vt:lpstr>
      <vt:lpstr>FHD_NUM_P_3</vt:lpstr>
      <vt:lpstr>FHD_NUM_P_30</vt:lpstr>
      <vt:lpstr>FHD_NUM_P_31</vt:lpstr>
      <vt:lpstr>FHD_NUM_P_32</vt:lpstr>
      <vt:lpstr>FHD_NUM_P_33</vt:lpstr>
      <vt:lpstr>FHD_NUM_P_34</vt:lpstr>
      <vt:lpstr>FHD_NUM_P_35</vt:lpstr>
      <vt:lpstr>FHD_NUM_P_36</vt:lpstr>
      <vt:lpstr>FHD_NUM_P_37</vt:lpstr>
      <vt:lpstr>FHD_NUM_P_38</vt:lpstr>
      <vt:lpstr>FHD_NUM_P_39</vt:lpstr>
      <vt:lpstr>FHD_NUM_P_4</vt:lpstr>
      <vt:lpstr>FHD_NUM_P_40</vt:lpstr>
      <vt:lpstr>FHD_NUM_P_41</vt:lpstr>
      <vt:lpstr>FHD_NUM_P_42</vt:lpstr>
      <vt:lpstr>FHD_NUM_P_43</vt:lpstr>
      <vt:lpstr>FHD_NUM_P_44</vt:lpstr>
      <vt:lpstr>FHD_NUM_P_45</vt:lpstr>
      <vt:lpstr>FHD_NUM_P_46</vt:lpstr>
      <vt:lpstr>FHD_NUM_P_47</vt:lpstr>
      <vt:lpstr>FHD_NUM_P_48</vt:lpstr>
      <vt:lpstr>FHD_NUM_P_49</vt:lpstr>
      <vt:lpstr>FHD_NUM_P_5</vt:lpstr>
      <vt:lpstr>FHD_NUM_P_50</vt:lpstr>
      <vt:lpstr>FHD_NUM_P_51</vt:lpstr>
      <vt:lpstr>FHD_NUM_P_52</vt:lpstr>
      <vt:lpstr>FHD_NUM_P_53</vt:lpstr>
      <vt:lpstr>FHD_NUM_P_54</vt:lpstr>
      <vt:lpstr>FHD_NUM_P_55</vt:lpstr>
      <vt:lpstr>FHD_NUM_P_56</vt:lpstr>
      <vt:lpstr>FHD_NUM_P_57</vt:lpstr>
      <vt:lpstr>FHD_NUM_P_58</vt:lpstr>
      <vt:lpstr>FHD_NUM_P_59</vt:lpstr>
      <vt:lpstr>FHD_NUM_P_6</vt:lpstr>
      <vt:lpstr>FHD_NUM_P_60</vt:lpstr>
      <vt:lpstr>FHD_NUM_P_61</vt:lpstr>
      <vt:lpstr>FHD_NUM_P_62</vt:lpstr>
      <vt:lpstr>FHD_NUM_P_63</vt:lpstr>
      <vt:lpstr>FHD_NUM_P_64</vt:lpstr>
      <vt:lpstr>FHD_NUM_P_65</vt:lpstr>
      <vt:lpstr>FHD_NUM_P_66</vt:lpstr>
      <vt:lpstr>FHD_NUM_P_67</vt:lpstr>
      <vt:lpstr>FHD_NUM_P_68</vt:lpstr>
      <vt:lpstr>FHD_NUM_P_69</vt:lpstr>
      <vt:lpstr>FHD_NUM_P_7</vt:lpstr>
      <vt:lpstr>FHD_NUM_P_70</vt:lpstr>
      <vt:lpstr>FHD_NUM_P_71</vt:lpstr>
      <vt:lpstr>FHD_NUM_P_72</vt:lpstr>
      <vt:lpstr>FHD_NUM_P_73</vt:lpstr>
      <vt:lpstr>FHD_NUM_P_74</vt:lpstr>
      <vt:lpstr>FHD_NUM_P_75</vt:lpstr>
      <vt:lpstr>FHD_NUM_P_76</vt:lpstr>
      <vt:lpstr>FHD_NUM_P_77</vt:lpstr>
      <vt:lpstr>FHD_NUM_P_78</vt:lpstr>
      <vt:lpstr>FHD_NUM_P_79</vt:lpstr>
      <vt:lpstr>FHD_NUM_P_8</vt:lpstr>
      <vt:lpstr>FHD_NUM_P_80</vt:lpstr>
      <vt:lpstr>FHD_NUM_P_81</vt:lpstr>
      <vt:lpstr>FHD_NUM_P_82</vt:lpstr>
      <vt:lpstr>FHD_NUM_P_83</vt:lpstr>
      <vt:lpstr>FHD_NUM_P_84</vt:lpstr>
      <vt:lpstr>FHD_NUM_P_9</vt:lpstr>
      <vt:lpstr>FHD_NUM_P_A</vt:lpstr>
      <vt:lpstr>FHD_P_1</vt:lpstr>
      <vt:lpstr>FHD_P_10</vt:lpstr>
      <vt:lpstr>FHD_P_11</vt:lpstr>
      <vt:lpstr>FHD_P_12</vt:lpstr>
      <vt:lpstr>FHD_P_13</vt:lpstr>
      <vt:lpstr>FHD_P_14</vt:lpstr>
      <vt:lpstr>FHD_P_15</vt:lpstr>
      <vt:lpstr>FHD_P_16</vt:lpstr>
      <vt:lpstr>FHD_P_17</vt:lpstr>
      <vt:lpstr>FHD_P_18</vt:lpstr>
      <vt:lpstr>FHD_P_19</vt:lpstr>
      <vt:lpstr>FHD_P_2</vt:lpstr>
      <vt:lpstr>FHD_P_20</vt:lpstr>
      <vt:lpstr>FHD_P_21</vt:lpstr>
      <vt:lpstr>FHD_P_22</vt:lpstr>
      <vt:lpstr>FHD_P_23</vt:lpstr>
      <vt:lpstr>FHD_P_24</vt:lpstr>
      <vt:lpstr>FHD_P_25</vt:lpstr>
      <vt:lpstr>FHD_P_26</vt:lpstr>
      <vt:lpstr>FHD_P_27</vt:lpstr>
      <vt:lpstr>FHD_P_28</vt:lpstr>
      <vt:lpstr>FHD_P_29</vt:lpstr>
      <vt:lpstr>FHD_P_3</vt:lpstr>
      <vt:lpstr>FHD_P_30</vt:lpstr>
      <vt:lpstr>FHD_P_31</vt:lpstr>
      <vt:lpstr>FHD_P_32</vt:lpstr>
      <vt:lpstr>FHD_P_33</vt:lpstr>
      <vt:lpstr>FHD_P_34</vt:lpstr>
      <vt:lpstr>FHD_P_35</vt:lpstr>
      <vt:lpstr>FHD_P_36</vt:lpstr>
      <vt:lpstr>FHD_P_37</vt:lpstr>
      <vt:lpstr>FHD_P_38</vt:lpstr>
      <vt:lpstr>FHD_P_39</vt:lpstr>
      <vt:lpstr>FHD_P_4</vt:lpstr>
      <vt:lpstr>FHD_P_40</vt:lpstr>
      <vt:lpstr>FHD_P_41</vt:lpstr>
      <vt:lpstr>FHD_P_42</vt:lpstr>
      <vt:lpstr>FHD_P_43</vt:lpstr>
      <vt:lpstr>FHD_P_44</vt:lpstr>
      <vt:lpstr>FHD_P_45</vt:lpstr>
      <vt:lpstr>FHD_P_46</vt:lpstr>
      <vt:lpstr>FHD_P_47</vt:lpstr>
      <vt:lpstr>FHD_P_48</vt:lpstr>
      <vt:lpstr>FHD_P_49</vt:lpstr>
      <vt:lpstr>FHD_P_5</vt:lpstr>
      <vt:lpstr>FHD_P_50</vt:lpstr>
      <vt:lpstr>FHD_P_51</vt:lpstr>
      <vt:lpstr>FHD_P_52</vt:lpstr>
      <vt:lpstr>FHD_P_53</vt:lpstr>
      <vt:lpstr>FHD_P_54</vt:lpstr>
      <vt:lpstr>FHD_P_55</vt:lpstr>
      <vt:lpstr>FHD_P_56</vt:lpstr>
      <vt:lpstr>FHD_P_57</vt:lpstr>
      <vt:lpstr>FHD_P_58</vt:lpstr>
      <vt:lpstr>FHD_P_59</vt:lpstr>
      <vt:lpstr>FHD_P_6</vt:lpstr>
      <vt:lpstr>FHD_P_60</vt:lpstr>
      <vt:lpstr>FHD_P_61</vt:lpstr>
      <vt:lpstr>FHD_P_62</vt:lpstr>
      <vt:lpstr>FHD_P_63</vt:lpstr>
      <vt:lpstr>FHD_P_64</vt:lpstr>
      <vt:lpstr>FHD_P_65</vt:lpstr>
      <vt:lpstr>FHD_P_66</vt:lpstr>
      <vt:lpstr>FHD_P_67</vt:lpstr>
      <vt:lpstr>FHD_P_68</vt:lpstr>
      <vt:lpstr>FHD_P_69</vt:lpstr>
      <vt:lpstr>FHD_P_7</vt:lpstr>
      <vt:lpstr>FHD_P_70</vt:lpstr>
      <vt:lpstr>FHD_P_71</vt:lpstr>
      <vt:lpstr>FHD_P_72</vt:lpstr>
      <vt:lpstr>FHD_P_73</vt:lpstr>
      <vt:lpstr>FHD_P_74</vt:lpstr>
      <vt:lpstr>FHD_P_75</vt:lpstr>
      <vt:lpstr>FHD_P_76</vt:lpstr>
      <vt:lpstr>FHD_P_77</vt:lpstr>
      <vt:lpstr>FHD_P_78</vt:lpstr>
      <vt:lpstr>FHD_P_79</vt:lpstr>
      <vt:lpstr>FHD_P_8</vt:lpstr>
      <vt:lpstr>FHD_P_80</vt:lpstr>
      <vt:lpstr>FHD_P_81</vt:lpstr>
      <vt:lpstr>FHD_P_82</vt:lpstr>
      <vt:lpstr>FHD_P_83</vt:lpstr>
      <vt:lpstr>FHD_P_84</vt:lpstr>
      <vt:lpstr>FHD_P_9</vt:lpstr>
      <vt:lpstr>FHD_P_A</vt:lpstr>
      <vt:lpstr>FHD20_NAME_FORM</vt:lpstr>
      <vt:lpstr>fil</vt:lpstr>
      <vt:lpstr>HEAT_FIN_SRC_LIST</vt:lpstr>
      <vt:lpstr>HEAT_FIN_SRC_VLD_LIST</vt:lpstr>
      <vt:lpstr>HEAT_IP_EVENT_CI_STAGE_LIST</vt:lpstr>
      <vt:lpstr>HEAT_IP_EVENT_GROUP_LIST</vt:lpstr>
      <vt:lpstr>HEAT_IP_EVENT_SUBGROUP_1_LIST</vt:lpstr>
      <vt:lpstr>HEAT_IP_EVENT_SUBGROUP_3_LIST</vt:lpstr>
      <vt:lpstr>HEAT_IP_EVENT_SUBGROUP_5_LIST</vt:lpstr>
      <vt:lpstr>HEAT_IP_EVENT_TYPE_LIST</vt:lpstr>
      <vt:lpstr>HEAT_PT_SCHEME</vt:lpstr>
      <vt:lpstr>HEAT_PT_TARIFF_ID</vt:lpstr>
      <vt:lpstr>HEAT_PT_TARIFF_NAME</vt:lpstr>
      <vt:lpstr>HEAT_PT_TARIFF_NAME_LIST</vt:lpstr>
      <vt:lpstr>HEAT_PT_VED_ID</vt:lpstr>
      <vt:lpstr>HEAT_PT_VED_NAME</vt:lpstr>
      <vt:lpstr>HEAT_PT_VED_NAME_LIST</vt:lpstr>
      <vt:lpstr>HEAT_TARIFF_A_ADD_HL_COLUMN_MARKER</vt:lpstr>
      <vt:lpstr>HEAT_TARIFF_A_DEL_HL_GC_COLUMN_MARKER</vt:lpstr>
      <vt:lpstr>HEAT_TARIFF_A_DEL_HL_SCHEME_COLUMN_MARKER</vt:lpstr>
      <vt:lpstr>HEAT_TARIFF_A_DEL_HL_TN_COLUMN_MARKER</vt:lpstr>
      <vt:lpstr>HEAT_TARIFF_A_DELETE_PERIOD_ROW_MARKER</vt:lpstr>
      <vt:lpstr>HEAT_TARIFF_A_FLAG_BLOCK_COLUMN_MARKER</vt:lpstr>
      <vt:lpstr>HEAT_TARIFF_A_FLAG_BLOCK_ROW_MARKER</vt:lpstr>
      <vt:lpstr>HEAT_TARIFF_A_NUM_CS_COLUMN_MARKER</vt:lpstr>
      <vt:lpstr>HEAT_TARIFF_A_NUM_GC_COLUMN_MARKER</vt:lpstr>
      <vt:lpstr>HEAT_TARIFF_A_NUM_IST_TE_COLUMN_MARKER</vt:lpstr>
      <vt:lpstr>HEAT_TARIFF_A_NUM_NTAR_COLUMN_MARKER</vt:lpstr>
      <vt:lpstr>HEAT_TARIFF_A_NUM_SCHEME_COLUMN_MARKER</vt:lpstr>
      <vt:lpstr>HEAT_TARIFF_A_NUM_TER_COLUMN_MARKER</vt:lpstr>
      <vt:lpstr>HEAT_TARIFF_A_NUM_TN_COLUMN_MARKER</vt:lpstr>
      <vt:lpstr>HEAT_TARIFF_B_ADD_HL_COLUMN_MARKER</vt:lpstr>
      <vt:lpstr>HEAT_TARIFF_B_DEL_HL_GC_COLUMN_MARKER</vt:lpstr>
      <vt:lpstr>HEAT_TARIFF_B_DEL_HL_SCHEME_COLUMN_MARKER</vt:lpstr>
      <vt:lpstr>HEAT_TARIFF_B_DEL_HL_TN_COLUMN_MARKER</vt:lpstr>
      <vt:lpstr>HEAT_TARIFF_B_DELETE_PERIOD_ROW_MARKER</vt:lpstr>
      <vt:lpstr>HEAT_TARIFF_B_FLAG_BLOCK_COLUMN_MARKER</vt:lpstr>
      <vt:lpstr>HEAT_TARIFF_B_FLAG_BLOCK_ROW_MARKER</vt:lpstr>
      <vt:lpstr>HEAT_TARIFF_B_NUM_CS_COLUMN_MARKER</vt:lpstr>
      <vt:lpstr>HEAT_TARIFF_B_NUM_GC_COLUMN_MARKER</vt:lpstr>
      <vt:lpstr>HEAT_TARIFF_B_NUM_IST_TE_COLUMN_MARKER</vt:lpstr>
      <vt:lpstr>HEAT_TARIFF_B_NUM_NTAR_COLUMN_MARKER</vt:lpstr>
      <vt:lpstr>HEAT_TARIFF_B_NUM_SCHEME_COLUMN_MARKER</vt:lpstr>
      <vt:lpstr>HEAT_TARIFF_B_NUM_TER_COLUMN_MARKER</vt:lpstr>
      <vt:lpstr>HEAT_TARIFF_B_NUM_TN_COLUMN_MARKER</vt:lpstr>
      <vt:lpstr>HEAT_TARIFF_C_ADD_HL_COLUMN_MARKER</vt:lpstr>
      <vt:lpstr>HEAT_TARIFF_C_DEL_HL_GC_COLUMN_MARKER</vt:lpstr>
      <vt:lpstr>HEAT_TARIFF_C_DEL_HL_SCHEME_COLUMN_MARKER</vt:lpstr>
      <vt:lpstr>HEAT_TARIFF_C_DEL_HL_TN_COLUMN_MARKER</vt:lpstr>
      <vt:lpstr>HEAT_TARIFF_C_DELETE_PERIOD_ROW_MARKER</vt:lpstr>
      <vt:lpstr>HEAT_TARIFF_C_FLAG_BLOCK_COLUMN_MARKER</vt:lpstr>
      <vt:lpstr>HEAT_TARIFF_C_FLAG_BLOCK_ROW_MARKER</vt:lpstr>
      <vt:lpstr>HEAT_TARIFF_C_NUM_CS_COLUMN_MARKER</vt:lpstr>
      <vt:lpstr>HEAT_TARIFF_C_NUM_GC_COLUMN_MARKER</vt:lpstr>
      <vt:lpstr>HEAT_TARIFF_C_NUM_IST_TE_COLUMN_MARKER</vt:lpstr>
      <vt:lpstr>HEAT_TARIFF_C_NUM_NTAR_COLUMN_MARKER</vt:lpstr>
      <vt:lpstr>HEAT_TARIFF_C_NUM_SCHEME_COLUMN_MARKER</vt:lpstr>
      <vt:lpstr>HEAT_TARIFF_C_NUM_TER_COLUMN_MARKER</vt:lpstr>
      <vt:lpstr>HEAT_TARIFF_C_NUM_TN_COLUMN_MARKER</vt:lpstr>
      <vt:lpstr>HEAT_TARIFF_D_ADD_HL_COLUMN_MARKER</vt:lpstr>
      <vt:lpstr>HEAT_TARIFF_D_DEL_HL_CONS_COLUMN_MARKER</vt:lpstr>
      <vt:lpstr>HEAT_TARIFF_D_DEL_HL_GC_COLUMN_MARKER</vt:lpstr>
      <vt:lpstr>HEAT_TARIFF_D_DEL_HL_SCHEME_COLUMN_MARKER</vt:lpstr>
      <vt:lpstr>HEAT_TARIFF_D_DEL_HL_TN_COLUMN_MARKER</vt:lpstr>
      <vt:lpstr>HEAT_TARIFF_D_DELETE_PERIOD_ROW_MARKER</vt:lpstr>
      <vt:lpstr>HEAT_TARIFF_D_FLAG_BLOCK_COLUMN_MARKER</vt:lpstr>
      <vt:lpstr>HEAT_TARIFF_D_FLAG_BLOCK_ROW_MARKER</vt:lpstr>
      <vt:lpstr>HEAT_TARIFF_D_NUM_CONS_COLUMN_MARKER</vt:lpstr>
      <vt:lpstr>HEAT_TARIFF_D_NUM_CS_COLUMN_MARKER</vt:lpstr>
      <vt:lpstr>HEAT_TARIFF_D_NUM_GC_COLUMN_MARKER</vt:lpstr>
      <vt:lpstr>HEAT_TARIFF_D_NUM_IST_TE_COLUMN_MARKER</vt:lpstr>
      <vt:lpstr>HEAT_TARIFF_D_NUM_NTAR_COLUMN_MARKER</vt:lpstr>
      <vt:lpstr>HEAT_TARIFF_D_NUM_SCHEME_COLUMN_MARKER</vt:lpstr>
      <vt:lpstr>HEAT_TARIFF_D_NUM_TER_COLUMN_MARKER</vt:lpstr>
      <vt:lpstr>HEAT_TARIFF_D_NUM_TN_COLUMN_MARKER</vt:lpstr>
      <vt:lpstr>HEAT_TARIFF_E1_ADD_HL_COLUMN_MARKER</vt:lpstr>
      <vt:lpstr>HEAT_TARIFF_E1_DEL_HL_GC_COLUMN_MARKER</vt:lpstr>
      <vt:lpstr>HEAT_TARIFF_E1_DEL_HL_SCHEME_COLUMN_MARKER</vt:lpstr>
      <vt:lpstr>HEAT_TARIFF_E1_DEL_HL_TN_COLUMN_MARKER</vt:lpstr>
      <vt:lpstr>HEAT_TARIFF_E1_DELETE_PERIOD_ROW_MARKER</vt:lpstr>
      <vt:lpstr>HEAT_TARIFF_E1_FLAG_BLOCK_COLUMN_MARKER</vt:lpstr>
      <vt:lpstr>HEAT_TARIFF_E1_FLAG_BLOCK_ROW_MARKER</vt:lpstr>
      <vt:lpstr>HEAT_TARIFF_E1_NUM_CS_COLUMN_MARKER</vt:lpstr>
      <vt:lpstr>HEAT_TARIFF_E1_NUM_GC_COLUMN_MARKER</vt:lpstr>
      <vt:lpstr>HEAT_TARIFF_E1_NUM_IST_TE_COLUMN_MARKER</vt:lpstr>
      <vt:lpstr>HEAT_TARIFF_E1_NUM_NTAR_COLUMN_MARKER</vt:lpstr>
      <vt:lpstr>HEAT_TARIFF_E1_NUM_SCHEME_COLUMN_MARKER</vt:lpstr>
      <vt:lpstr>HEAT_TARIFF_E1_NUM_TER_COLUMN_MARKER</vt:lpstr>
      <vt:lpstr>HEAT_TARIFF_E1_NUM_TN_COLUMN_MARKER</vt:lpstr>
      <vt:lpstr>HEAT_TARIFF_E2_ADD_HL_COLUMN_MARKER</vt:lpstr>
      <vt:lpstr>HEAT_TARIFF_E2_DEL_HL_GC_COLUMN_MARKER</vt:lpstr>
      <vt:lpstr>HEAT_TARIFF_E2_DEL_HL_SCHEME_COLUMN_MARKER</vt:lpstr>
      <vt:lpstr>HEAT_TARIFF_E2_DEL_HL_TN_COLUMN_MARKER</vt:lpstr>
      <vt:lpstr>HEAT_TARIFF_E2_DELETE_PERIOD_ROW_MARKER</vt:lpstr>
      <vt:lpstr>HEAT_TARIFF_E2_FLAG_BLOCK_COLUMN_MARKER</vt:lpstr>
      <vt:lpstr>HEAT_TARIFF_E2_FLAG_BLOCK_ROW_MARKER</vt:lpstr>
      <vt:lpstr>HEAT_TARIFF_E2_NUM_CS_COLUMN_MARKER</vt:lpstr>
      <vt:lpstr>HEAT_TARIFF_E2_NUM_GC_COLUMN_MARKER</vt:lpstr>
      <vt:lpstr>HEAT_TARIFF_E2_NUM_IST_TE_COLUMN_MARKER</vt:lpstr>
      <vt:lpstr>HEAT_TARIFF_E2_NUM_NTAR_COLUMN_MARKER</vt:lpstr>
      <vt:lpstr>HEAT_TARIFF_E2_NUM_SCHEME_COLUMN_MARKER</vt:lpstr>
      <vt:lpstr>HEAT_TARIFF_E2_NUM_TER_COLUMN_MARKER</vt:lpstr>
      <vt:lpstr>HEAT_TARIFF_E2_NUM_TN_COLUMN_MARKER</vt:lpstr>
      <vt:lpstr>HEAT_TARIFF_F_ADD_HL_COLUMN_MARKER</vt:lpstr>
      <vt:lpstr>HEAT_TARIFF_F_DEL_HL_GC_COLUMN_MARKER</vt:lpstr>
      <vt:lpstr>HEAT_TARIFF_F_DEL_HL_SCHEME_COLUMN_MARKER</vt:lpstr>
      <vt:lpstr>HEAT_TARIFF_F_DEL_HL_TN_COLUMN_MARKER</vt:lpstr>
      <vt:lpstr>HEAT_TARIFF_F_DELETE_PERIOD_ROW_MARKER</vt:lpstr>
      <vt:lpstr>HEAT_TARIFF_F_FLAG_BLOCK_COLUMN_MARKER</vt:lpstr>
      <vt:lpstr>HEAT_TARIFF_F_FLAG_BLOCK_ROW_MARKER</vt:lpstr>
      <vt:lpstr>HEAT_TARIFF_F_NUM_CS_COLUMN_MARKER</vt:lpstr>
      <vt:lpstr>HEAT_TARIFF_F_NUM_GC_COLUMN_MARKER</vt:lpstr>
      <vt:lpstr>HEAT_TARIFF_F_NUM_IST_TE_COLUMN_MARKER</vt:lpstr>
      <vt:lpstr>HEAT_TARIFF_F_NUM_NTAR_COLUMN_MARKER</vt:lpstr>
      <vt:lpstr>HEAT_TARIFF_F_NUM_SCHEME_COLUMN_MARKER</vt:lpstr>
      <vt:lpstr>HEAT_TARIFF_F_NUM_TER_COLUMN_MARKER</vt:lpstr>
      <vt:lpstr>HEAT_TARIFF_F_NUM_TN_COLUMN_MARKER</vt:lpstr>
      <vt:lpstr>HEAT_TARIFF_G_ADD_HL_COLUMN_MARKER</vt:lpstr>
      <vt:lpstr>HEAT_TARIFF_G_ADD_HL_DIAMETERS_COLUMN_MARKER</vt:lpstr>
      <vt:lpstr>HEAT_TARIFF_G_ADD_HL_LOAD_COLUMN_MARKER</vt:lpstr>
      <vt:lpstr>HEAT_TARIFF_G_ADD_HL_NETS_COLUMN_MARKER</vt:lpstr>
      <vt:lpstr>HEAT_TARIFF_G_DEL_HL_DIAMETERS_COLUMN_MARKER</vt:lpstr>
      <vt:lpstr>HEAT_TARIFF_G_DEL_HL_GC_COLUMN_MARKER</vt:lpstr>
      <vt:lpstr>HEAT_TARIFF_G_DEL_HL_LOAD_COLUMN_MARKER</vt:lpstr>
      <vt:lpstr>HEAT_TARIFF_G_DEL_HL_NETS_COLUMN_MARKER</vt:lpstr>
      <vt:lpstr>HEAT_TARIFF_G_DEL_HL_SCHEME_COLUMN_MARKER</vt:lpstr>
      <vt:lpstr>HEAT_TARIFF_G_DEL_HL_TN_COLUMN_MARKER</vt:lpstr>
      <vt:lpstr>HEAT_TARIFF_G_DELETE_PERIOD_ROW_MARKER</vt:lpstr>
      <vt:lpstr>HEAT_TARIFF_G_FLAG_BLOCK_COLUMN_MARKER</vt:lpstr>
      <vt:lpstr>HEAT_TARIFF_G_FLAG_BLOCK_ROW_MARKER</vt:lpstr>
      <vt:lpstr>HEAT_TARIFF_G_NUM_CS_COLUMN_MARKER</vt:lpstr>
      <vt:lpstr>HEAT_TARIFF_G_NUM_DIAMETERS_COLUMN_MARKER</vt:lpstr>
      <vt:lpstr>HEAT_TARIFF_G_NUM_GC_COLUMN_MARKER</vt:lpstr>
      <vt:lpstr>HEAT_TARIFF_G_NUM_IST_TE_COLUMN_MARKER</vt:lpstr>
      <vt:lpstr>HEAT_TARIFF_G_NUM_LOAD_COLUMN_MARKER</vt:lpstr>
      <vt:lpstr>HEAT_TARIFF_G_NUM_NETS_COLUMN_MARKER</vt:lpstr>
      <vt:lpstr>HEAT_TARIFF_G_NUM_NTAR_COLUMN_MARKER</vt:lpstr>
      <vt:lpstr>HEAT_TARIFF_G_NUM_SCHEME_COLUMN_MARKER</vt:lpstr>
      <vt:lpstr>HEAT_TARIFF_G_NUM_TER_COLUMN_MARKER</vt:lpstr>
      <vt:lpstr>HEAT_TARIFF_G_NUM_TN_COLUMN_MARKER</vt:lpstr>
      <vt:lpstr>HOTVSNA_FIN_SRC_LIST</vt:lpstr>
      <vt:lpstr>HOTVSNA_FIN_SRC_VLD_LIST</vt:lpstr>
      <vt:lpstr>HOTVSNA_IP_EVENT_CI_STAGE_LIST</vt:lpstr>
      <vt:lpstr>HOTVSNA_IP_EVENT_GROUP_LIST</vt:lpstr>
      <vt:lpstr>HOTVSNA_IP_EVENT_SUBGROUP_1_LIST</vt:lpstr>
      <vt:lpstr>HOTVSNA_IP_EVENT_SUBGROUP_3_LIST</vt:lpstr>
      <vt:lpstr>HOTVSNA_IP_EVENT_SUBGROUP_5_LIST</vt:lpstr>
      <vt:lpstr>HOTVSNA_IP_EVENT_TYPE_LIST</vt:lpstr>
      <vt:lpstr>HOTVSNA_PT_VED_ID</vt:lpstr>
      <vt:lpstr>HOTVSNA_PT_VED_NAME</vt:lpstr>
      <vt:lpstr>HOTVSNA_PT_VED_NAME_LIST</vt:lpstr>
      <vt:lpstr>HOTVSNA_TARIFF_A_HOTVSNA_ADD_HL_COLUMN_MARKER</vt:lpstr>
      <vt:lpstr>HOTVSNA_TARIFF_A_HOTVSNA_DEL_HL_DATA_DIFF_COLUMN_MARKER</vt:lpstr>
      <vt:lpstr>HOTVSNA_TARIFF_A_HOTVSNA_DEL_HL_FLAG_DIFF_COLUMN_MARKER</vt:lpstr>
      <vt:lpstr>HOTVSNA_TARIFF_A_HOTVSNA_DEL_HL_GC_COLUMN_MARKER</vt:lpstr>
      <vt:lpstr>HOTVSNA_TARIFF_A_HOTVSNA_DELETE_PERIOD_ROW_MARKER</vt:lpstr>
      <vt:lpstr>HOTVSNA_TARIFF_A_HOTVSNA_FLAG_BLOCK_COLUMN_MARKER</vt:lpstr>
      <vt:lpstr>HOTVSNA_TARIFF_A_HOTVSNA_FLAG_BLOCK_ROW_MARKER</vt:lpstr>
      <vt:lpstr>HOTVSNA_TARIFF_A_HOTVSNA_NUM_CS_COLUMN_MARKER</vt:lpstr>
      <vt:lpstr>HOTVSNA_TARIFF_A_HOTVSNA_NUM_DATA_DIFF_COLUMN_MARKER</vt:lpstr>
      <vt:lpstr>HOTVSNA_TARIFF_A_HOTVSNA_NUM_FLAG_DIFF_COLUMN_MARKER</vt:lpstr>
      <vt:lpstr>HOTVSNA_TARIFF_A_HOTVSNA_NUM_GC_COLUMN_MARKER</vt:lpstr>
      <vt:lpstr>HOTVSNA_TARIFF_A_HOTVSNA_NUM_NTAR_COLUMN_MARKER</vt:lpstr>
      <vt:lpstr>HOTVSNA_TARIFF_A_HOTVSNA_NUM_TER_COLUMN_MARKER</vt:lpstr>
      <vt:lpstr>HOTVSNA_TARIFF_B_HOTVSNA_ADD_HL_COLUMN_MARKER</vt:lpstr>
      <vt:lpstr>HOTVSNA_TARIFF_B_HOTVSNA_DEL_HL_DATA_DIFF_COLUMN_MARKER</vt:lpstr>
      <vt:lpstr>HOTVSNA_TARIFF_B_HOTVSNA_DEL_HL_FLAG_DIFF_COLUMN_MARKER</vt:lpstr>
      <vt:lpstr>HOTVSNA_TARIFF_B_HOTVSNA_DEL_HL_GC_COLUMN_MARKER</vt:lpstr>
      <vt:lpstr>HOTVSNA_TARIFF_B_HOTVSNA_DELETE_PERIOD_ROW_MARKER</vt:lpstr>
      <vt:lpstr>HOTVSNA_TARIFF_B_HOTVSNA_FLAG_BLOCK_COLUMN_MARKER</vt:lpstr>
      <vt:lpstr>HOTVSNA_TARIFF_B_HOTVSNA_FLAG_BLOCK_ROW_MARKER</vt:lpstr>
      <vt:lpstr>HOTVSNA_TARIFF_B_HOTVSNA_NUM_CS_COLUMN_MARKER</vt:lpstr>
      <vt:lpstr>HOTVSNA_TARIFF_B_HOTVSNA_NUM_DATA_DIFF_COLUMN_MARKER</vt:lpstr>
      <vt:lpstr>HOTVSNA_TARIFF_B_HOTVSNA_NUM_FLAG_DIFF_COLUMN_MARKER</vt:lpstr>
      <vt:lpstr>HOTVSNA_TARIFF_B_HOTVSNA_NUM_GC_COLUMN_MARKER</vt:lpstr>
      <vt:lpstr>HOTVSNA_TARIFF_B_HOTVSNA_NUM_NTAR_COLUMN_MARKER</vt:lpstr>
      <vt:lpstr>HOTVSNA_TARIFF_B_HOTVSNA_NUM_TER_COLUMN_MARKER</vt:lpstr>
      <vt:lpstr>HOTVSNA_TARIFF_C_HOTVSNA_ADD_HL_COLUMN_MARKER</vt:lpstr>
      <vt:lpstr>HOTVSNA_TARIFF_C_HOTVSNA_ADD_HL_DIAMETERS_COLUMN_MARKER</vt:lpstr>
      <vt:lpstr>HOTVSNA_TARIFF_C_HOTVSNA_ADD_HL_LEN_COLUMN_MARKER</vt:lpstr>
      <vt:lpstr>HOTVSNA_TARIFF_C_HOTVSNA_ADD_HL_LOAD_COLUMN_MARKER</vt:lpstr>
      <vt:lpstr>HOTVSNA_TARIFF_C_HOTVSNA_ADD_HL_NETS_COLUMN_MARKER</vt:lpstr>
      <vt:lpstr>HOTVSNA_TARIFF_C_HOTVSNA_DEL_HL_DATA_DIFF_COLUMN_MARKER</vt:lpstr>
      <vt:lpstr>HOTVSNA_TARIFF_C_HOTVSNA_DEL_HL_DIAMETERS_COLUMN_MARKER</vt:lpstr>
      <vt:lpstr>HOTVSNA_TARIFF_C_HOTVSNA_DEL_HL_FLAG_DIFF_COLUMN_MARKER</vt:lpstr>
      <vt:lpstr>HOTVSNA_TARIFF_C_HOTVSNA_DEL_HL_GC_COLUMN_MARKER</vt:lpstr>
      <vt:lpstr>HOTVSNA_TARIFF_C_HOTVSNA_DEL_HL_LEN_COLUMN_MARKER</vt:lpstr>
      <vt:lpstr>HOTVSNA_TARIFF_C_HOTVSNA_DEL_HL_LOAD_COLUMN_MARKER</vt:lpstr>
      <vt:lpstr>HOTVSNA_TARIFF_C_HOTVSNA_DEL_HL_NETS_COLUMN_MARKER</vt:lpstr>
      <vt:lpstr>HOTVSNA_TARIFF_C_HOTVSNA_DELETE_PERIOD_ROW_MARKER</vt:lpstr>
      <vt:lpstr>HOTVSNA_TARIFF_C_HOTVSNA_FLAG_BLOCK_COLUMN_MARKER</vt:lpstr>
      <vt:lpstr>HOTVSNA_TARIFF_C_HOTVSNA_FLAG_BLOCK_ROW_MARKER</vt:lpstr>
      <vt:lpstr>HOTVSNA_TARIFF_C_HOTVSNA_NUM_CS_COLUMN_MARKER</vt:lpstr>
      <vt:lpstr>HOTVSNA_TARIFF_C_HOTVSNA_NUM_DATA_DIFF_COLUMN_MARKER</vt:lpstr>
      <vt:lpstr>HOTVSNA_TARIFF_C_HOTVSNA_NUM_DIAMETERS_COLUMN_MARKER</vt:lpstr>
      <vt:lpstr>HOTVSNA_TARIFF_C_HOTVSNA_NUM_FLAG_DIFF_COLUMN_MARKER</vt:lpstr>
      <vt:lpstr>HOTVSNA_TARIFF_C_HOTVSNA_NUM_GC_COLUMN_MARKER</vt:lpstr>
      <vt:lpstr>HOTVSNA_TARIFF_C_HOTVSNA_NUM_LEN_COLUMN_MARKER</vt:lpstr>
      <vt:lpstr>HOTVSNA_TARIFF_C_HOTVSNA_NUM_LOAD_COLUMN_MARKER</vt:lpstr>
      <vt:lpstr>HOTVSNA_TARIFF_C_HOTVSNA_NUM_NETS_COLUMN_MARKER</vt:lpstr>
      <vt:lpstr>HOTVSNA_TARIFF_C_HOTVSNA_NUM_NTAR_COLUMN_MARKER</vt:lpstr>
      <vt:lpstr>HOTVSNA_TARIFF_C_HOTVSNA_NUM_TER_COLUMN_MARKER</vt:lpstr>
      <vt:lpstr>Info_Diff</vt:lpstr>
      <vt:lpstr>Info_Diff1</vt:lpstr>
      <vt:lpstr>Info_FilFlag</vt:lpstr>
      <vt:lpstr>Info_ForMOInListMO</vt:lpstr>
      <vt:lpstr>Info_ForMRInListMO</vt:lpstr>
      <vt:lpstr>Info_ForSKIInListMO</vt:lpstr>
      <vt:lpstr>Info_ForSKINumberInListMO</vt:lpstr>
      <vt:lpstr>Info_NoteStandarts</vt:lpstr>
      <vt:lpstr>Info_NoUpdates</vt:lpstr>
      <vt:lpstr>Info_PeriodInTitle</vt:lpstr>
      <vt:lpstr>Info_PrDiff</vt:lpstr>
      <vt:lpstr>Info_PublicationNotDisclosed</vt:lpstr>
      <vt:lpstr>Info_PublicationPdf</vt:lpstr>
      <vt:lpstr>Info_PublicationWeb</vt:lpstr>
      <vt:lpstr>Info_T_Podkl</vt:lpstr>
      <vt:lpstr>Info_TarName</vt:lpstr>
      <vt:lpstr>Info_TerExcludeHelp_1</vt:lpstr>
      <vt:lpstr>Info_TerExcludeHelp_2</vt:lpstr>
      <vt:lpstr>Info_TitleFil</vt:lpstr>
      <vt:lpstr>Info_TitleFlagCrossSubsidization</vt:lpstr>
      <vt:lpstr>Info_TitleFlagIstPubl</vt:lpstr>
      <vt:lpstr>Info_TitleFlagTwoPartTariff</vt:lpstr>
      <vt:lpstr>Info_TitleGroupRates</vt:lpstr>
      <vt:lpstr>Info_TitleKindPublication</vt:lpstr>
      <vt:lpstr>Info_TitleKindsOfGoods</vt:lpstr>
      <vt:lpstr>Info_TitlePublication</vt:lpstr>
      <vt:lpstr>Info_TitleType</vt:lpstr>
      <vt:lpstr>inn</vt:lpstr>
      <vt:lpstr>IP_CLAIM_LIST</vt:lpstr>
      <vt:lpstr>IP_DETAILED_ADD_HL_EVENT_COLUMN_MARKER</vt:lpstr>
      <vt:lpstr>IP_DETAILED_ADD_HL_IST_FIN_COLUMN_MARKER</vt:lpstr>
      <vt:lpstr>IP_DETAILED_ADD_HL_OBJECT_COLUMN_MARKER</vt:lpstr>
      <vt:lpstr>IP_DETAILED_DATA_KS</vt:lpstr>
      <vt:lpstr>IP_DETAILED_EVENT_MARKER</vt:lpstr>
      <vt:lpstr>IP_DETAILED_EVENT_SUBGROUP_COLUMN_MARKER</vt:lpstr>
      <vt:lpstr>IP_DETAILED_EVENT_SUBGROUP_RANGE_COLUMN_MARKER</vt:lpstr>
      <vt:lpstr>IP_DETAILED_FLAG_KS</vt:lpstr>
      <vt:lpstr>IP_DETAILED_FLAG_OBJECT</vt:lpstr>
      <vt:lpstr>IP_DETAILED_GROUP_MARKER</vt:lpstr>
      <vt:lpstr>IP_DETAILED_IST_FIN_FACT_COLUMN_MARKER</vt:lpstr>
      <vt:lpstr>IP_DETAILED_LIST_IP_ID</vt:lpstr>
      <vt:lpstr>IP_DETAILED_MONTH_FACT_COLUMN_MARKER</vt:lpstr>
      <vt:lpstr>IP_DETAILED_MONTH_PLAN_COLUMN_MARKER</vt:lpstr>
      <vt:lpstr>IP_DETAILED_NAME_EVENT_COLUMN_MARKER</vt:lpstr>
      <vt:lpstr>IP_DETAILED_YEAR_FACT_COLUMN_MARKER</vt:lpstr>
      <vt:lpstr>IP_DETAILED_YEAR_PLAN_COLUMN_MARKER</vt:lpstr>
      <vt:lpstr>IP_FIN_PLAN_LIST_ID_MARKER_ROW</vt:lpstr>
      <vt:lpstr>IP_FIN_PLAN_NAME_IP_MARKER_ROW</vt:lpstr>
      <vt:lpstr>IP_FIN_PLAN_YEAR_MARKER_ROW</vt:lpstr>
      <vt:lpstr>IP_ID</vt:lpstr>
      <vt:lpstr>IP_MAIN_ADD_HL_PROPERTY_COLUMN_MARKER</vt:lpstr>
      <vt:lpstr>IP_MAIN_APPROVAL_DATE</vt:lpstr>
      <vt:lpstr>IP_MAIN_CHANGE_DATE</vt:lpstr>
      <vt:lpstr>IP_MAIN_CLAIM</vt:lpstr>
      <vt:lpstr>IP_MAIN_DATE_PARKING</vt:lpstr>
      <vt:lpstr>IP_MAIN_DELETE_HL_COLUMN_MARKER</vt:lpstr>
      <vt:lpstr>IP_MAIN_DIFFERENTIATION_EVENTS_FLAG</vt:lpstr>
      <vt:lpstr>IP_MAIN_END_DATE</vt:lpstr>
      <vt:lpstr>IP_MAIN_FLAG_KS</vt:lpstr>
      <vt:lpstr>IP_MAIN_FLAG_KS_COLUMN_MARKER</vt:lpstr>
      <vt:lpstr>IP_MAIN_IP_FIN_PLAN_VISIBLE_FLAG</vt:lpstr>
      <vt:lpstr>IP_MAIN_LIST_IP_ID</vt:lpstr>
      <vt:lpstr>IP_MAIN_LIST_NAME_IP</vt:lpstr>
      <vt:lpstr>IP_MAIN_PERIOD_REALIZ_DATE</vt:lpstr>
      <vt:lpstr>IP_MAIN_PR_IP_CHANGE_DATE</vt:lpstr>
      <vt:lpstr>IP_MAIN_PR_IP_DATE</vt:lpstr>
      <vt:lpstr>IP_MAIN_START_DATE</vt:lpstr>
      <vt:lpstr>IP_QRE_ADD_HL_CLAIM_COLUMN_MARKER</vt:lpstr>
      <vt:lpstr>IP_QRE_ADD_HL_COLUMN_MARKER</vt:lpstr>
      <vt:lpstr>IP_QRE_DELETE_HL_COLUMN_MARKER</vt:lpstr>
      <vt:lpstr>IP_QRE_LIST_IP_ID</vt:lpstr>
      <vt:lpstr>IP_QRE_NUM_COLUMN_MARKER</vt:lpstr>
      <vt:lpstr>IP_QRE_OTKO_FEATURES_BLOCK</vt:lpstr>
      <vt:lpstr>IP_QRE_VOTV_FEATURES_BLOCK</vt:lpstr>
      <vt:lpstr>IP_QRE_VSNA_FEATURES_BLOCK</vt:lpstr>
      <vt:lpstr>IP_QRE_WARM_FEATURES_BLOCK</vt:lpstr>
      <vt:lpstr>IST_TE_ID</vt:lpstr>
      <vt:lpstr>kind_group_rates</vt:lpstr>
      <vt:lpstr>kind_group_rates_load</vt:lpstr>
      <vt:lpstr>kind_group_rates_load_ETS</vt:lpstr>
      <vt:lpstr>kind_group_rates_load_filter</vt:lpstr>
      <vt:lpstr>kind_group_rates_load_filter_ETS</vt:lpstr>
      <vt:lpstr>kind_of_activity_WARM</vt:lpstr>
      <vt:lpstr>kind_of_cons</vt:lpstr>
      <vt:lpstr>kind_of_control_method</vt:lpstr>
      <vt:lpstr>kind_of_control_method_filter</vt:lpstr>
      <vt:lpstr>kind_of_data_type</vt:lpstr>
      <vt:lpstr>kind_of_diameters</vt:lpstr>
      <vt:lpstr>kind_of_diameters2</vt:lpstr>
      <vt:lpstr>kind_of_diff</vt:lpstr>
      <vt:lpstr>kind_of_fuel</vt:lpstr>
      <vt:lpstr>kind_of_fuels</vt:lpstr>
      <vt:lpstr>kind_of_heat_transfer</vt:lpstr>
      <vt:lpstr>kind_of_heat_transfer2</vt:lpstr>
      <vt:lpstr>kind_of_heat_transfer3</vt:lpstr>
      <vt:lpstr>kind_of_load</vt:lpstr>
      <vt:lpstr>kind_of_load2</vt:lpstr>
      <vt:lpstr>kind_of_load3</vt:lpstr>
      <vt:lpstr>kind_of_load4</vt:lpstr>
      <vt:lpstr>kind_of_NDS</vt:lpstr>
      <vt:lpstr>kind_of_NDS_tariff</vt:lpstr>
      <vt:lpstr>kind_of_NDS_tariff_people</vt:lpstr>
      <vt:lpstr>kind_of_nets</vt:lpstr>
      <vt:lpstr>kind_of_org_type</vt:lpstr>
      <vt:lpstr>kind_of_power_te_unit</vt:lpstr>
      <vt:lpstr>kind_of_publication</vt:lpstr>
      <vt:lpstr>kind_of_purchase_method</vt:lpstr>
      <vt:lpstr>kind_of_scheme_in</vt:lpstr>
      <vt:lpstr>kind_of_scheme_in2</vt:lpstr>
      <vt:lpstr>kind_of_tariff_unit</vt:lpstr>
      <vt:lpstr>kind_of_unit</vt:lpstr>
      <vt:lpstr>kind_of_volume_te_unit</vt:lpstr>
      <vt:lpstr>kind_of_zak</vt:lpstr>
      <vt:lpstr>KNE_NAME_FORM</vt:lpstr>
      <vt:lpstr>kpp</vt:lpstr>
      <vt:lpstr>LINK_RANGE</vt:lpstr>
      <vt:lpstr>List_H</vt:lpstr>
      <vt:lpstr>List_M</vt:lpstr>
      <vt:lpstr>LIST_MR_MO_OKTMO</vt:lpstr>
      <vt:lpstr>LIST_MR_MO_OKTMO_FILTER</vt:lpstr>
      <vt:lpstr>ListForms</vt:lpstr>
      <vt:lpstr>logical</vt:lpstr>
      <vt:lpstr>MONTH</vt:lpstr>
      <vt:lpstr>MONTH_IP_LIST</vt:lpstr>
      <vt:lpstr>nalog</vt:lpstr>
      <vt:lpstr>name_rates_4</vt:lpstr>
      <vt:lpstr>name_rates_4_filter</vt:lpstr>
      <vt:lpstr>name_rates_8</vt:lpstr>
      <vt:lpstr>name_rates_8_filter</vt:lpstr>
      <vt:lpstr>NameTemplatesInListMO</vt:lpstr>
      <vt:lpstr>NameTemplatesInTitle</vt:lpstr>
      <vt:lpstr>NameTemplatesInTitleList</vt:lpstr>
      <vt:lpstr>NTAR_ID</vt:lpstr>
      <vt:lpstr>org</vt:lpstr>
      <vt:lpstr>Org_Address</vt:lpstr>
      <vt:lpstr>ORG_END_DATE</vt:lpstr>
      <vt:lpstr>ORG_INFO_DATE_OGRN</vt:lpstr>
      <vt:lpstr>ORG_INFO_DATE_PARKING</vt:lpstr>
      <vt:lpstr>ORG_INFO_DATE_UNI_TS</vt:lpstr>
      <vt:lpstr>ORG_INFO_EMAIL</vt:lpstr>
      <vt:lpstr>ORG_INFO_ET</vt:lpstr>
      <vt:lpstr>ORG_INFO_FLAG_INVEST</vt:lpstr>
      <vt:lpstr>ORG_INFO_NAME_FORM</vt:lpstr>
      <vt:lpstr>ORG_INFO_P_NOTE_MAIN</vt:lpstr>
      <vt:lpstr>ORG_INFO_RESP_EMAIL</vt:lpstr>
      <vt:lpstr>ORG_INFO_URL</vt:lpstr>
      <vt:lpstr>Org_main</vt:lpstr>
      <vt:lpstr>ORG_START_DATE</vt:lpstr>
      <vt:lpstr>ORG_TERRITORY_FIRST_MO</vt:lpstr>
      <vt:lpstr>ORG_TERRITORY_FLAG_INTERNET</vt:lpstr>
      <vt:lpstr>ORG_TERRITORY_LINK</vt:lpstr>
      <vt:lpstr>ORG_TERRITORY_NAME_COL</vt:lpstr>
      <vt:lpstr>ORG_TERRITORY_POINT_NUMBER_1</vt:lpstr>
      <vt:lpstr>ORG_VD_EM</vt:lpstr>
      <vt:lpstr>ORG_VD_FIRST_ROW</vt:lpstr>
      <vt:lpstr>ORG_VD_FIRST_SYSTEM</vt:lpstr>
      <vt:lpstr>ORG_VD_SYSTEM</vt:lpstr>
      <vt:lpstr>ORG_VD_TKO_ADD_HL_ACTIVITY_COLUMN_MARKER</vt:lpstr>
      <vt:lpstr>ORG_VD_TKO_ADD_HL_TYPE_OBJECT_COLUMN_MARKER</vt:lpstr>
      <vt:lpstr>ORG_VD_TKO_DEL_HL_ACTIVITY_COLUMN_MARKER</vt:lpstr>
      <vt:lpstr>ORG_VD_TKO_DEL_HL_TYPE_OBJECT_COLUMN_MARKER</vt:lpstr>
      <vt:lpstr>ORG_VD_TKO_VD</vt:lpstr>
      <vt:lpstr>ORG_VD_TKO_VD_ID</vt:lpstr>
      <vt:lpstr>ORG_VD_VD</vt:lpstr>
      <vt:lpstr>ORG_VD_VD_ID</vt:lpstr>
      <vt:lpstr>OTKO_FIN_SRC_LIST</vt:lpstr>
      <vt:lpstr>OTKO_FIN_SRC_VLD_LIST</vt:lpstr>
      <vt:lpstr>OTKO_IP_EVENT_CI_STAGE_LIST</vt:lpstr>
      <vt:lpstr>OTKO_IP_EVENT_GROUP_LIST</vt:lpstr>
      <vt:lpstr>OTKO_IP_EVENT_TYPE_LIST</vt:lpstr>
      <vt:lpstr>otv_lico_name</vt:lpstr>
      <vt:lpstr>P_T_TERMS_LINK</vt:lpstr>
      <vt:lpstr>pCng_P_T_TERMS_1</vt:lpstr>
      <vt:lpstr>pCng_P_T_TERMS_2</vt:lpstr>
      <vt:lpstr>pCng_P_T_TERMS_3</vt:lpstr>
      <vt:lpstr>pCng_P_T_TERMS_4</vt:lpstr>
      <vt:lpstr>pDel_CHANGE_INFO</vt:lpstr>
      <vt:lpstr>pDel_Comm</vt:lpstr>
      <vt:lpstr>pDel_DIFFERENTIATION_AREA</vt:lpstr>
      <vt:lpstr>pDel_DIFFERENTIATION_SYSTEM</vt:lpstr>
      <vt:lpstr>pDel_DIFFERENTIATION_VD</vt:lpstr>
      <vt:lpstr>pDel_ED</vt:lpstr>
      <vt:lpstr>pDel_IP_DETAILED_EVENT</vt:lpstr>
      <vt:lpstr>pDel_IP_DETAILED_IST_FIN</vt:lpstr>
      <vt:lpstr>pDel_IP_DETAILED_OBJECT</vt:lpstr>
      <vt:lpstr>pDel_IP_MAIN</vt:lpstr>
      <vt:lpstr>pDel_IP_MAIN_PROPERTY</vt:lpstr>
      <vt:lpstr>pDel_IP_QRE_CLAIM</vt:lpstr>
      <vt:lpstr>pDel_List07</vt:lpstr>
      <vt:lpstr>pDel_LT_AREA</vt:lpstr>
      <vt:lpstr>pDel_LT_MO</vt:lpstr>
      <vt:lpstr>pDel_ORG_INFO</vt:lpstr>
      <vt:lpstr>pDel_ORG_TERRITORY</vt:lpstr>
      <vt:lpstr>pDel_ORG_VD</vt:lpstr>
      <vt:lpstr>pDel_P_PROCEDURE_TC</vt:lpstr>
      <vt:lpstr>pDel_P_T_TERMS</vt:lpstr>
      <vt:lpstr>pDel_R_B_Purch</vt:lpstr>
      <vt:lpstr>periodEnd</vt:lpstr>
      <vt:lpstr>PeriodIsEmpty</vt:lpstr>
      <vt:lpstr>PeriodIsEmptyList</vt:lpstr>
      <vt:lpstr>periodStart</vt:lpstr>
      <vt:lpstr>pHeader_B_FHD</vt:lpstr>
      <vt:lpstr>pHeader_B_FHD_TKO</vt:lpstr>
      <vt:lpstr>pHeader_B_FHD_TKO_TRANS</vt:lpstr>
      <vt:lpstr>pHeader_B_KNE</vt:lpstr>
      <vt:lpstr>pHeader_Q_LIMIT</vt:lpstr>
      <vt:lpstr>pHeader_Q_PH</vt:lpstr>
      <vt:lpstr>pHeader_Q_TP</vt:lpstr>
      <vt:lpstr>pHeader_ver_B_FHD</vt:lpstr>
      <vt:lpstr>pHeader_ver_B_FHD_TKO</vt:lpstr>
      <vt:lpstr>pHeader_ver_B_FHD_TKO_TRANS</vt:lpstr>
      <vt:lpstr>pHeader_ver_B_KNE</vt:lpstr>
      <vt:lpstr>pHeader_ver_P_PROCEDURE_TC</vt:lpstr>
      <vt:lpstr>pHeader_ver_Q_LIMIT</vt:lpstr>
      <vt:lpstr>pIns_B_FHD_1</vt:lpstr>
      <vt:lpstr>pIns_B_FHD_2</vt:lpstr>
      <vt:lpstr>pIns_B_FHD_3</vt:lpstr>
      <vt:lpstr>pIns_B_FHD_4</vt:lpstr>
      <vt:lpstr>pIns_B_FHD_5</vt:lpstr>
      <vt:lpstr>pIns_B_FHD_6</vt:lpstr>
      <vt:lpstr>pIns_B_FHD_DIFFERENTIATION</vt:lpstr>
      <vt:lpstr>pIns_B_FHD_TKO_2</vt:lpstr>
      <vt:lpstr>pIns_B_FHD_TKO_DIFFERENTIATION</vt:lpstr>
      <vt:lpstr>pIns_B_FHD_TKO_TRANS_2</vt:lpstr>
      <vt:lpstr>pIns_B_FHD_TKO_TRANS_DIFFERENTIATION</vt:lpstr>
      <vt:lpstr>pIns_B_FHD20_DIFFERENTIATION</vt:lpstr>
      <vt:lpstr>pIns_B_KNE_DIFFERENTIATION</vt:lpstr>
      <vt:lpstr>pIns_CHANGE_INFO</vt:lpstr>
      <vt:lpstr>pIns_Comm</vt:lpstr>
      <vt:lpstr>pIns_ED</vt:lpstr>
      <vt:lpstr>pIns_IP_DETAILED</vt:lpstr>
      <vt:lpstr>pIns_IP_FIN_PLAN</vt:lpstr>
      <vt:lpstr>pIns_IP_MAIN</vt:lpstr>
      <vt:lpstr>pIns_IP_QRE</vt:lpstr>
      <vt:lpstr>pIns_List07</vt:lpstr>
      <vt:lpstr>pIns_LT_AREA</vt:lpstr>
      <vt:lpstr>pIns_ORG_INFO_1</vt:lpstr>
      <vt:lpstr>pIns_ORG_INFO_2</vt:lpstr>
      <vt:lpstr>pIns_ORG_TERRITORY</vt:lpstr>
      <vt:lpstr>pIns_ORG_VD_1</vt:lpstr>
      <vt:lpstr>pIns_ORG_VD_2</vt:lpstr>
      <vt:lpstr>pIns_ORG_VD_TKO_1</vt:lpstr>
      <vt:lpstr>pIns_P_PROCEDURE_TC_1</vt:lpstr>
      <vt:lpstr>pIns_P_PROCEDURE_TC_2</vt:lpstr>
      <vt:lpstr>pIns_P_PROCEDURE_TC_3</vt:lpstr>
      <vt:lpstr>pIns_P_PROCEDURE_TC_4</vt:lpstr>
      <vt:lpstr>pIns_P_PROCEDURE_TC_5</vt:lpstr>
      <vt:lpstr>pIns_P_T_TERMS_1</vt:lpstr>
      <vt:lpstr>pIns_P_T_TERMS_2</vt:lpstr>
      <vt:lpstr>pIns_P_T_TERMS_3</vt:lpstr>
      <vt:lpstr>pIns_P_T_TERMS_4</vt:lpstr>
      <vt:lpstr>pIns_PT_VTAR_A</vt:lpstr>
      <vt:lpstr>pIns_PT_VTAR_A_COLDVSNA</vt:lpstr>
      <vt:lpstr>pIns_PT_VTAR_A_HOTVSNA</vt:lpstr>
      <vt:lpstr>pIns_PT_VTAR_A_VOTV</vt:lpstr>
      <vt:lpstr>pIns_PT_VTAR_B</vt:lpstr>
      <vt:lpstr>pIns_PT_VTAR_B_COLDVSNA</vt:lpstr>
      <vt:lpstr>pIns_PT_VTAR_B_HOTVSNA</vt:lpstr>
      <vt:lpstr>pIns_PT_VTAR_B_VOTV</vt:lpstr>
      <vt:lpstr>pIns_PT_VTAR_C</vt:lpstr>
      <vt:lpstr>pIns_PT_VTAR_C_COLDVSNA</vt:lpstr>
      <vt:lpstr>pIns_PT_VTAR_C_HOTVSNA</vt:lpstr>
      <vt:lpstr>pIns_PT_VTAR_C_VOTV</vt:lpstr>
      <vt:lpstr>pIns_PT_VTAR_D</vt:lpstr>
      <vt:lpstr>pIns_PT_VTAR_D_COLDVSNA</vt:lpstr>
      <vt:lpstr>pIns_PT_VTAR_E_COLDVSNA</vt:lpstr>
      <vt:lpstr>pIns_PT_VTAR_E1</vt:lpstr>
      <vt:lpstr>pIns_PT_VTAR_E2</vt:lpstr>
      <vt:lpstr>pIns_PT_VTAR_F</vt:lpstr>
      <vt:lpstr>pIns_PT_VTAR_G</vt:lpstr>
      <vt:lpstr>pIns_Q_LIMIT_1</vt:lpstr>
      <vt:lpstr>pIns_Q_LIMIT_2</vt:lpstr>
      <vt:lpstr>pIns_Q_LIMIT_3</vt:lpstr>
      <vt:lpstr>pIns_Q_LIMIT_4</vt:lpstr>
      <vt:lpstr>pIns_Q_LIMIT_DIFFERENTIATION</vt:lpstr>
      <vt:lpstr>pIns_Q_PH_DIFFERENTIATION</vt:lpstr>
      <vt:lpstr>pIns_Q_TP_1</vt:lpstr>
      <vt:lpstr>pIns_Q_TP_DIFFERENTIATION</vt:lpstr>
      <vt:lpstr>pIns_R_B_Purch_1</vt:lpstr>
      <vt:lpstr>pIns_ROIV_CASE_case</vt:lpstr>
      <vt:lpstr>pIns_ROIV_INFO_phone</vt:lpstr>
      <vt:lpstr>pIns_ROIV_ORG_org</vt:lpstr>
      <vt:lpstr>pIns_ROIV_OTV_org</vt:lpstr>
      <vt:lpstr>pIns_ver_COLDVSNA_TARIFF_A_COLDVSNA</vt:lpstr>
      <vt:lpstr>pIns_ver_COLDVSNA_TARIFF_B_COLDVSNA</vt:lpstr>
      <vt:lpstr>pIns_ver_COLDVSNA_TARIFF_C_COLDVSNA</vt:lpstr>
      <vt:lpstr>pIns_ver_COLDVSNA_TARIFF_D_COLDVSNA</vt:lpstr>
      <vt:lpstr>pIns_ver_COLDVSNA_TARIFF_E_COLDVSNA</vt:lpstr>
      <vt:lpstr>pIns_ver_HEAT_TARIFF_A</vt:lpstr>
      <vt:lpstr>pIns_ver_HEAT_TARIFF_B</vt:lpstr>
      <vt:lpstr>pIns_ver_HEAT_TARIFF_C</vt:lpstr>
      <vt:lpstr>pIns_ver_HEAT_TARIFF_D</vt:lpstr>
      <vt:lpstr>pIns_ver_HEAT_TARIFF_E1</vt:lpstr>
      <vt:lpstr>pIns_ver_HEAT_TARIFF_E2</vt:lpstr>
      <vt:lpstr>pIns_ver_HEAT_TARIFF_F</vt:lpstr>
      <vt:lpstr>pIns_ver_HEAT_TARIFF_G</vt:lpstr>
      <vt:lpstr>pIns_ver_HOTVSNA_TARIFF_A_HOTVSNA</vt:lpstr>
      <vt:lpstr>pIns_ver_HOTVSNA_TARIFF_B_HOTVSNA</vt:lpstr>
      <vt:lpstr>pIns_ver_HOTVSNA_TARIFF_C_HOTVSNA</vt:lpstr>
      <vt:lpstr>pIns_ver_VOTV_TARIFF_A_VOTV</vt:lpstr>
      <vt:lpstr>pIns_ver_VOTV_TARIFF_B_VOTV</vt:lpstr>
      <vt:lpstr>pIns_ver_VOTV_TARIFF_C_VOTV</vt:lpstr>
      <vt:lpstr>pNote_LIMIT</vt:lpstr>
      <vt:lpstr>pNote_Q_PH</vt:lpstr>
      <vt:lpstr>PROCEDURE_TC_NAME_FORM</vt:lpstr>
      <vt:lpstr>PT_ADD_HL_CS_COLUMN_MARKER</vt:lpstr>
      <vt:lpstr>PT_ADD_HL_IST_TE_COLUMN_MARKER</vt:lpstr>
      <vt:lpstr>PT_ADD_HL_NTAR_COLUMN_MARKER</vt:lpstr>
      <vt:lpstr>PT_ADD_HL_TER_COLUMN_MARKER</vt:lpstr>
      <vt:lpstr>PT_ADD_HL_VTAR_COLUMN_MARKER</vt:lpstr>
      <vt:lpstr>pt_cs_1</vt:lpstr>
      <vt:lpstr>pt_cs_10</vt:lpstr>
      <vt:lpstr>pt_cs_11</vt:lpstr>
      <vt:lpstr>pt_cs_12</vt:lpstr>
      <vt:lpstr>pt_cs_13</vt:lpstr>
      <vt:lpstr>pt_cs_14</vt:lpstr>
      <vt:lpstr>pt_cs_15</vt:lpstr>
      <vt:lpstr>pt_cs_16</vt:lpstr>
      <vt:lpstr>pt_cs_17</vt:lpstr>
      <vt:lpstr>pt_cs_18</vt:lpstr>
      <vt:lpstr>pt_cs_19</vt:lpstr>
      <vt:lpstr>pt_cs_2</vt:lpstr>
      <vt:lpstr>pt_cs_3</vt:lpstr>
      <vt:lpstr>pt_cs_4</vt:lpstr>
      <vt:lpstr>pt_cs_4i</vt:lpstr>
      <vt:lpstr>pt_cs_4p</vt:lpstr>
      <vt:lpstr>pt_cs_5</vt:lpstr>
      <vt:lpstr>pt_cs_6</vt:lpstr>
      <vt:lpstr>pt_cs_7</vt:lpstr>
      <vt:lpstr>pt_cs_8</vt:lpstr>
      <vt:lpstr>pt_cs_9</vt:lpstr>
      <vt:lpstr>PT_DEL_HL_CS_COLUMN_MARKER</vt:lpstr>
      <vt:lpstr>PT_DEL_HL_IST_TE_COLUMN_MARKER</vt:lpstr>
      <vt:lpstr>PT_DEL_HL_NTAR_COLUMN_MARKER</vt:lpstr>
      <vt:lpstr>PT_DEL_HL_TER_COLUMN_MARKER</vt:lpstr>
      <vt:lpstr>PT_DEL_HL_VTAR_COLUMN_MARKER</vt:lpstr>
      <vt:lpstr>PT_DIAMETERS_2_LIST</vt:lpstr>
      <vt:lpstr>PT_DIAMETERS_LIST</vt:lpstr>
      <vt:lpstr>PT_DIFFERENTIATION_CS</vt:lpstr>
      <vt:lpstr>PT_DIFFERENTIATION_CS_ID</vt:lpstr>
      <vt:lpstr>PT_DIFFERENTIATION_IST_TE</vt:lpstr>
      <vt:lpstr>PT_DIFFERENTIATION_IST_TE_ID</vt:lpstr>
      <vt:lpstr>PT_DIFFERENTIATION_NTAR</vt:lpstr>
      <vt:lpstr>PT_DIFFERENTIATION_NTAR_ID</vt:lpstr>
      <vt:lpstr>PT_DIFFERENTIATION_NUM_CS</vt:lpstr>
      <vt:lpstr>PT_DIFFERENTIATION_NUM_IST_TE</vt:lpstr>
      <vt:lpstr>PT_DIFFERENTIATION_NUM_NTAR</vt:lpstr>
      <vt:lpstr>PT_DIFFERENTIATION_NUM_TER</vt:lpstr>
      <vt:lpstr>PT_DIFFERENTIATION_TER</vt:lpstr>
      <vt:lpstr>PT_DIFFERENTIATION_TER_ID</vt:lpstr>
      <vt:lpstr>PT_DIFFERENTIATION_VDET</vt:lpstr>
      <vt:lpstr>PT_DIFFERENTIATION_VTAR</vt:lpstr>
      <vt:lpstr>PT_DIFFERENTIATION_VTAR_ID</vt:lpstr>
      <vt:lpstr>PT_FLAG_CS_COLUMN_MARKER</vt:lpstr>
      <vt:lpstr>PT_FLAG_IST_TE_COLUMN_MARKER</vt:lpstr>
      <vt:lpstr>PT_FLAG_TER_COLUMN_MARKER</vt:lpstr>
      <vt:lpstr>PT_FLAG_VTAR_COLUMN_MARKER</vt:lpstr>
      <vt:lpstr>PT_GROUP_CONSUMER_LIST</vt:lpstr>
      <vt:lpstr>pt_ist_te_1</vt:lpstr>
      <vt:lpstr>pt_ist_te_2</vt:lpstr>
      <vt:lpstr>pt_ist_te_3</vt:lpstr>
      <vt:lpstr>pt_ist_te_4</vt:lpstr>
      <vt:lpstr>pt_ist_te_4i</vt:lpstr>
      <vt:lpstr>pt_ist_te_4p</vt:lpstr>
      <vt:lpstr>pt_ist_te_5</vt:lpstr>
      <vt:lpstr>pt_ist_te_6</vt:lpstr>
      <vt:lpstr>pt_ist_te_7</vt:lpstr>
      <vt:lpstr>pt_ist_te_8</vt:lpstr>
      <vt:lpstr>PT_LOAD_LIST</vt:lpstr>
      <vt:lpstr>PT_NETS_LIST</vt:lpstr>
      <vt:lpstr>pt_ntar_1</vt:lpstr>
      <vt:lpstr>pt_ntar_10</vt:lpstr>
      <vt:lpstr>pt_ntar_11</vt:lpstr>
      <vt:lpstr>pt_ntar_12</vt:lpstr>
      <vt:lpstr>pt_ntar_13</vt:lpstr>
      <vt:lpstr>pt_ntar_14</vt:lpstr>
      <vt:lpstr>pt_ntar_15</vt:lpstr>
      <vt:lpstr>pt_ntar_16</vt:lpstr>
      <vt:lpstr>pt_ntar_17</vt:lpstr>
      <vt:lpstr>pt_ntar_18</vt:lpstr>
      <vt:lpstr>pt_ntar_19</vt:lpstr>
      <vt:lpstr>pt_ntar_2</vt:lpstr>
      <vt:lpstr>pt_ntar_3</vt:lpstr>
      <vt:lpstr>pt_ntar_4</vt:lpstr>
      <vt:lpstr>pt_ntar_4i</vt:lpstr>
      <vt:lpstr>pt_ntar_4p</vt:lpstr>
      <vt:lpstr>pt_ntar_5</vt:lpstr>
      <vt:lpstr>pt_ntar_6</vt:lpstr>
      <vt:lpstr>pt_ntar_7</vt:lpstr>
      <vt:lpstr>pt_ntar_8</vt:lpstr>
      <vt:lpstr>pt_ntar_9</vt:lpstr>
      <vt:lpstr>PT_P_FORM_COLDVSNA_4_NAME_FORM</vt:lpstr>
      <vt:lpstr>PT_P_FORM_COLDVSNA_5_NAME_FORM</vt:lpstr>
      <vt:lpstr>PT_P_FORM_HEAT_21_NAME_FORM</vt:lpstr>
      <vt:lpstr>PT_P_FORM_HEAT_22_NAME_FORM</vt:lpstr>
      <vt:lpstr>PT_P_FORM_HEAT_4_NAME_FORM</vt:lpstr>
      <vt:lpstr>PT_P_FORM_HEAT_5_NAME_FORM</vt:lpstr>
      <vt:lpstr>PT_P_FORM_HEAT_6_NAME_FORM</vt:lpstr>
      <vt:lpstr>PT_P_FORM_HEAT_7_NAME_FORM</vt:lpstr>
      <vt:lpstr>PT_P_FORM_HOTVSNA_4_NAME_FORM</vt:lpstr>
      <vt:lpstr>PT_P_FORM_HOTVSNA_5_NAME_FORM</vt:lpstr>
      <vt:lpstr>PT_P_FORM_VOTV_4_NAME_FORM</vt:lpstr>
      <vt:lpstr>PT_P_FORM_VOTV_5_NAME_FORM</vt:lpstr>
      <vt:lpstr>PT_R_FORM_COLDVSNA_16_NAME_FORM</vt:lpstr>
      <vt:lpstr>PT_R_FORM_COLDVSNA_17_NAME_FORM</vt:lpstr>
      <vt:lpstr>PT_R_FORM_HEAT_21_NAME_FORM</vt:lpstr>
      <vt:lpstr>PT_R_FORM_HEAT_22_NAME_FORM</vt:lpstr>
      <vt:lpstr>PT_R_FORM_HEAT_23_NAME_FORM</vt:lpstr>
      <vt:lpstr>PT_R_FORM_HEAT_24_NAME_FORM</vt:lpstr>
      <vt:lpstr>PT_R_FORM_HOTVSNA_16_NAME_FORM</vt:lpstr>
      <vt:lpstr>PT_R_FORM_HOTVSNA_17_NAME_FORM</vt:lpstr>
      <vt:lpstr>PT_R_FORM_VOTV_16_NAME_FORM</vt:lpstr>
      <vt:lpstr>PT_R_FORM_VOTV_17_NAME_FORM</vt:lpstr>
      <vt:lpstr>PT_SCHEME_LIST</vt:lpstr>
      <vt:lpstr>pt_ter_1</vt:lpstr>
      <vt:lpstr>pt_ter_10</vt:lpstr>
      <vt:lpstr>pt_ter_11</vt:lpstr>
      <vt:lpstr>pt_ter_12</vt:lpstr>
      <vt:lpstr>pt_ter_13</vt:lpstr>
      <vt:lpstr>pt_ter_14</vt:lpstr>
      <vt:lpstr>pt_ter_15</vt:lpstr>
      <vt:lpstr>pt_ter_16</vt:lpstr>
      <vt:lpstr>pt_ter_17</vt:lpstr>
      <vt:lpstr>pt_ter_18</vt:lpstr>
      <vt:lpstr>pt_ter_19</vt:lpstr>
      <vt:lpstr>pt_ter_2</vt:lpstr>
      <vt:lpstr>pt_ter_3</vt:lpstr>
      <vt:lpstr>pt_ter_4</vt:lpstr>
      <vt:lpstr>pt_ter_4i</vt:lpstr>
      <vt:lpstr>pt_ter_4p</vt:lpstr>
      <vt:lpstr>pt_ter_5</vt:lpstr>
      <vt:lpstr>pt_ter_6</vt:lpstr>
      <vt:lpstr>pt_ter_7</vt:lpstr>
      <vt:lpstr>pt_ter_8</vt:lpstr>
      <vt:lpstr>pt_ter_9</vt:lpstr>
      <vt:lpstr>PT_TN_LIST</vt:lpstr>
      <vt:lpstr>PT_VDET_COLUMN_MARKER</vt:lpstr>
      <vt:lpstr>PURCH_NAME_FORM</vt:lpstr>
      <vt:lpstr>Q_LIMIT_CheckC</vt:lpstr>
      <vt:lpstr>Q_LIMIT_diff_1</vt:lpstr>
      <vt:lpstr>Q_LIMIT_p3</vt:lpstr>
      <vt:lpstr>Q_LIMIT_p4</vt:lpstr>
      <vt:lpstr>Q_PH_diff_1</vt:lpstr>
      <vt:lpstr>Q_TP_COUNT_REFUSAL</vt:lpstr>
      <vt:lpstr>Q_TP_diff_1</vt:lpstr>
      <vt:lpstr>QRE_METHOD_LIST</vt:lpstr>
      <vt:lpstr>QUARTER</vt:lpstr>
      <vt:lpstr>REESTR_LINK_RANGE</vt:lpstr>
      <vt:lpstr>REESTR_VT_RANGE</vt:lpstr>
      <vt:lpstr>REGION</vt:lpstr>
      <vt:lpstr>region_name</vt:lpstr>
      <vt:lpstr>RegulatoryPeriod</vt:lpstr>
      <vt:lpstr>ReportPeriod</vt:lpstr>
      <vt:lpstr>ROIV_CASE_ADD_HL_CASE_COLUMN_MARKER</vt:lpstr>
      <vt:lpstr>ROIV_CASE_DEL_HL_CASE_COLUMN_MARKER</vt:lpstr>
      <vt:lpstr>ROIV_CASE_NUM_CASE_COLUMN_MARKER</vt:lpstr>
      <vt:lpstr>ROIV_INFO_DEL_HL_PHONE_COLUMN_MARKER</vt:lpstr>
      <vt:lpstr>ROIV_INFO_NAME</vt:lpstr>
      <vt:lpstr>ROIV_INFO_NUM_PHONE_COLUMN_MARKER</vt:lpstr>
      <vt:lpstr>ROIV_ORG_DEL_HL_ORG_COLUMN_MARKER</vt:lpstr>
      <vt:lpstr>ROIV_ORG_INN_COLUMN_MARKER</vt:lpstr>
      <vt:lpstr>ROIV_ORG_KPP_COLUMN_MARKER</vt:lpstr>
      <vt:lpstr>ROIV_ORG_NAME_ORG_COLUMN_MARKER</vt:lpstr>
      <vt:lpstr>ROIV_ORG_NUM_ORG_COLUMN_MARKER</vt:lpstr>
      <vt:lpstr>ROIV_ORG_TECH_ORG_ID_COLUMN_MARKER</vt:lpstr>
      <vt:lpstr>ROIV_OTV_ADD_HL_DL_COLUMN_MARKER</vt:lpstr>
      <vt:lpstr>ROIV_OTV_DEL_HL_DL_COLUMN_MARKER</vt:lpstr>
      <vt:lpstr>ROIV_OTV_DEL_HL_ORG_COLUMN_MARKER</vt:lpstr>
      <vt:lpstr>ROIV_OTV_INN_COLUMN_MARKER</vt:lpstr>
      <vt:lpstr>ROIV_OTV_NAME_ORG_COLUMN_MARKER</vt:lpstr>
      <vt:lpstr>ROIV_OTV_NUM_DL_COLUMN_MARKER</vt:lpstr>
      <vt:lpstr>ROIV_OTV_NUM_ORG_COLUMN_MARKER</vt:lpstr>
      <vt:lpstr>ROIV_OTV_TECH_ORG_ID_COLUMN_MARKER</vt:lpstr>
      <vt:lpstr>SKI_number</vt:lpstr>
      <vt:lpstr>StartDateList</vt:lpstr>
      <vt:lpstr>TECH_ORG_ID</vt:lpstr>
      <vt:lpstr>TEMPLATE_DATA_POINT</vt:lpstr>
      <vt:lpstr>TEMPLATE_DATA_POINT_FHD</vt:lpstr>
      <vt:lpstr>TEMPLATE_GROUP</vt:lpstr>
      <vt:lpstr>TEMPLATE_NAME_FORM_LIST</vt:lpstr>
      <vt:lpstr>TEMPLATE_NOTE_POINT</vt:lpstr>
      <vt:lpstr>TEMPLATE_NOTE_POINT_FHD</vt:lpstr>
      <vt:lpstr>TEMPLATE_NUMBER_FORM_LIST</vt:lpstr>
      <vt:lpstr>TEMPLATE_NUMBER_POINT_FHD</vt:lpstr>
      <vt:lpstr>TEMPLATE_ORG_DATA_POINT</vt:lpstr>
      <vt:lpstr>TEMPLATE_SPHERE</vt:lpstr>
      <vt:lpstr>TEMPLATE_SPHERE_LIST</vt:lpstr>
      <vt:lpstr>TEMPLATE_SPHERE_LIST_FOR_NOTE</vt:lpstr>
      <vt:lpstr>TEMPLATE_SPHERE_LIST_FOR_NPA</vt:lpstr>
      <vt:lpstr>TEMPLATE_SPHERE_RUS</vt:lpstr>
      <vt:lpstr>TEMPLATE_SPHERE_RUS_2</vt:lpstr>
      <vt:lpstr>TemplateState</vt:lpstr>
      <vt:lpstr>ter_1</vt:lpstr>
      <vt:lpstr>TER_ID</vt:lpstr>
      <vt:lpstr>TERMS_LINK</vt:lpstr>
      <vt:lpstr>TERMS_NAME_FORM</vt:lpstr>
      <vt:lpstr>TERMS_NUM_CONTRACT_COLUMN_MARKER</vt:lpstr>
      <vt:lpstr>TERMS_P_1</vt:lpstr>
      <vt:lpstr>TERMS_TKO_TRANS_DATA</vt:lpstr>
      <vt:lpstr>TERRITORY_CheckC</vt:lpstr>
      <vt:lpstr>TERRITORY_ID</vt:lpstr>
      <vt:lpstr>TERRITORY_LIST_ID</vt:lpstr>
      <vt:lpstr>TERRITORY_MO_LIST</vt:lpstr>
      <vt:lpstr>TERRITORY_MR_LIST</vt:lpstr>
      <vt:lpstr>TERRITORY_NAME_COL</vt:lpstr>
      <vt:lpstr>TERRITORY_POINT_NUMBER_1</vt:lpstr>
      <vt:lpstr>TITLE_BUHG_FLAG</vt:lpstr>
      <vt:lpstr>TITLE_CONNECTION_FLAG</vt:lpstr>
      <vt:lpstr>TITLE_DATA_TYPE</vt:lpstr>
      <vt:lpstr>TITLE_DATE_BUHG</vt:lpstr>
      <vt:lpstr>TITLE_DATE_CHANGE</vt:lpstr>
      <vt:lpstr>TITLE_DATE_CHANGE_PERIOD</vt:lpstr>
      <vt:lpstr>TITLE_DATE_FIL</vt:lpstr>
      <vt:lpstr>TITLE_DATE_PARKING</vt:lpstr>
      <vt:lpstr>TITLE_DATE_PR</vt:lpstr>
      <vt:lpstr>TITLE_DATE_PR_CHANGE</vt:lpstr>
      <vt:lpstr>TITLE_DIFFERENTIATION_TYPE</vt:lpstr>
      <vt:lpstr>TITLE_FIL_YEAR</vt:lpstr>
      <vt:lpstr>TITLE_FLAG_DIFF_SELLER</vt:lpstr>
      <vt:lpstr>TITLE_FLAG_INTERNET</vt:lpstr>
      <vt:lpstr>TITLE_FLAG_IP</vt:lpstr>
      <vt:lpstr>TITLE_FLAG_IP_DETAILED</vt:lpstr>
      <vt:lpstr>TITLE_FLAG_NO_DIFF_COMPONENT</vt:lpstr>
      <vt:lpstr>TITLE_FLAG_NOT_REG_PRICE</vt:lpstr>
      <vt:lpstr>TITLE_FLAG_REG_PRICE_IP</vt:lpstr>
      <vt:lpstr>TITLE_FLAG_TKO_TRANS</vt:lpstr>
      <vt:lpstr>TITLE_FLAG_TOP80_ACTIVITY</vt:lpstr>
      <vt:lpstr>TITLE_HEADER_PR_CHANGE</vt:lpstr>
      <vt:lpstr>TITLE_IP_DETAILED_METHOD_LIST</vt:lpstr>
      <vt:lpstr>TITLE_IST_PUB</vt:lpstr>
      <vt:lpstr>TITLE_IST_PUB_CHANGE</vt:lpstr>
      <vt:lpstr>TITLE_NAME_OR_PR</vt:lpstr>
      <vt:lpstr>TITLE_NAME_OR_PR_CHANGE</vt:lpstr>
      <vt:lpstr>TITLE_NUMBER_PR</vt:lpstr>
      <vt:lpstr>TITLE_NUMBER_PR_CHANGE</vt:lpstr>
      <vt:lpstr>TITLE_PERIOD_END</vt:lpstr>
      <vt:lpstr>TITLE_PERIOD_START</vt:lpstr>
      <vt:lpstr>TITLE_TYPE_ORG</vt:lpstr>
      <vt:lpstr>TKO_PT_VED_ID</vt:lpstr>
      <vt:lpstr>TKO_PT_VED_NAME</vt:lpstr>
      <vt:lpstr>TKO_PT_VED_NAME_LIST</vt:lpstr>
      <vt:lpstr>TP_NAME_FORM</vt:lpstr>
      <vt:lpstr>TP_NUMBER_FORM</vt:lpstr>
      <vt:lpstr>TP_P_A</vt:lpstr>
      <vt:lpstr>TP_P_B</vt:lpstr>
      <vt:lpstr>TP_P_G</vt:lpstr>
      <vt:lpstr>TP_P_NOTE_A</vt:lpstr>
      <vt:lpstr>TP_P_NOTE_B</vt:lpstr>
      <vt:lpstr>TP_P_NOTE_G</vt:lpstr>
      <vt:lpstr>TP_P_NOTE_G_1</vt:lpstr>
      <vt:lpstr>TP_P_NOTE_V</vt:lpstr>
      <vt:lpstr>TP_P_NOTE_V_1</vt:lpstr>
      <vt:lpstr>TP_P_V</vt:lpstr>
      <vt:lpstr>TP_P_V_1</vt:lpstr>
      <vt:lpstr>TYPE_TKO_LIST</vt:lpstr>
      <vt:lpstr>VD_ID_LIST</vt:lpstr>
      <vt:lpstr>VD_LIST</vt:lpstr>
      <vt:lpstr>VD_NAME_LIST</vt:lpstr>
      <vt:lpstr>VDET_END_DATE</vt:lpstr>
      <vt:lpstr>VDET_START_DATE</vt:lpstr>
      <vt:lpstr>version</vt:lpstr>
      <vt:lpstr>VOTV_FIN_SRC_LIST</vt:lpstr>
      <vt:lpstr>VOTV_FIN_SRC_VLD_LIST</vt:lpstr>
      <vt:lpstr>VOTV_IP_EVENT_CI_STAGE_LIST</vt:lpstr>
      <vt:lpstr>VOTV_IP_EVENT_GROUP_LIST</vt:lpstr>
      <vt:lpstr>VOTV_IP_EVENT_SUBGROUP_1_LIST</vt:lpstr>
      <vt:lpstr>VOTV_IP_EVENT_SUBGROUP_3_LIST</vt:lpstr>
      <vt:lpstr>VOTV_IP_EVENT_SUBGROUP_5_LIST</vt:lpstr>
      <vt:lpstr>VOTV_IP_EVENT_TYPE_LIST</vt:lpstr>
      <vt:lpstr>VOTV_PT_VED_ID</vt:lpstr>
      <vt:lpstr>VOTV_PT_VED_NAME</vt:lpstr>
      <vt:lpstr>VOTV_PT_VED_NAME_LIST</vt:lpstr>
      <vt:lpstr>VOTV_TARIFF_A_VOTV_ADD_HL_COLUMN_MARKER</vt:lpstr>
      <vt:lpstr>VOTV_TARIFF_A_VOTV_DEL_HL_DATA_DIFF_COLUMN_MARKER</vt:lpstr>
      <vt:lpstr>VOTV_TARIFF_A_VOTV_DEL_HL_FLAG_DIFF_COLUMN_MARKER</vt:lpstr>
      <vt:lpstr>VOTV_TARIFF_A_VOTV_DEL_HL_GC_COLUMN_MARKER</vt:lpstr>
      <vt:lpstr>VOTV_TARIFF_A_VOTV_DELETE_PERIOD_ROW_MARKER</vt:lpstr>
      <vt:lpstr>VOTV_TARIFF_A_VOTV_FLAG_BLOCK_COLUMN_MARKER</vt:lpstr>
      <vt:lpstr>VOTV_TARIFF_A_VOTV_FLAG_BLOCK_ROW_MARKER</vt:lpstr>
      <vt:lpstr>VOTV_TARIFF_A_VOTV_NUM_CS_COLUMN_MARKER</vt:lpstr>
      <vt:lpstr>VOTV_TARIFF_A_VOTV_NUM_DATA_DIFF_COLUMN_MARKER</vt:lpstr>
      <vt:lpstr>VOTV_TARIFF_A_VOTV_NUM_FLAG_DIFF_COLUMN_MARKER</vt:lpstr>
      <vt:lpstr>VOTV_TARIFF_A_VOTV_NUM_GC_COLUMN_MARKER</vt:lpstr>
      <vt:lpstr>VOTV_TARIFF_A_VOTV_NUM_NTAR_COLUMN_MARKER</vt:lpstr>
      <vt:lpstr>VOTV_TARIFF_A_VOTV_NUM_TER_COLUMN_MARKER</vt:lpstr>
      <vt:lpstr>VOTV_TARIFF_B_VOTV_ADD_HL_COLUMN_MARKER</vt:lpstr>
      <vt:lpstr>VOTV_TARIFF_B_VOTV_DEL_HL_DATA_DIFF_COLUMN_MARKER</vt:lpstr>
      <vt:lpstr>VOTV_TARIFF_B_VOTV_DEL_HL_FLAG_DIFF_COLUMN_MARKER</vt:lpstr>
      <vt:lpstr>VOTV_TARIFF_B_VOTV_DEL_HL_GC_COLUMN_MARKER</vt:lpstr>
      <vt:lpstr>VOTV_TARIFF_B_VOTV_DELETE_PERIOD_ROW_MARKER</vt:lpstr>
      <vt:lpstr>VOTV_TARIFF_B_VOTV_FLAG_BLOCK_COLUMN_MARKER</vt:lpstr>
      <vt:lpstr>VOTV_TARIFF_B_VOTV_FLAG_BLOCK_ROW_MARKER</vt:lpstr>
      <vt:lpstr>VOTV_TARIFF_B_VOTV_NUM_CS_COLUMN_MARKER</vt:lpstr>
      <vt:lpstr>VOTV_TARIFF_B_VOTV_NUM_DATA_DIFF_COLUMN_MARKER</vt:lpstr>
      <vt:lpstr>VOTV_TARIFF_B_VOTV_NUM_FLAG_DIFF_COLUMN_MARKER</vt:lpstr>
      <vt:lpstr>VOTV_TARIFF_B_VOTV_NUM_GC_COLUMN_MARKER</vt:lpstr>
      <vt:lpstr>VOTV_TARIFF_B_VOTV_NUM_NTAR_COLUMN_MARKER</vt:lpstr>
      <vt:lpstr>VOTV_TARIFF_B_VOTV_NUM_TER_COLUMN_MARKER</vt:lpstr>
      <vt:lpstr>VOTV_TARIFF_C_VOTV_ADD_HL_COLUMN_MARKER</vt:lpstr>
      <vt:lpstr>VOTV_TARIFF_C_VOTV_ADD_HL_DIAMETERS_COLUMN_MARKER</vt:lpstr>
      <vt:lpstr>VOTV_TARIFF_C_VOTV_ADD_HL_LEN_COLUMN_MARKER</vt:lpstr>
      <vt:lpstr>VOTV_TARIFF_C_VOTV_ADD_HL_LOAD_COLUMN_MARKER</vt:lpstr>
      <vt:lpstr>VOTV_TARIFF_C_VOTV_ADD_HL_NETS_COLUMN_MARKER</vt:lpstr>
      <vt:lpstr>VOTV_TARIFF_C_VOTV_DEL_HL_DATA_DIFF_COLUMN_MARKER</vt:lpstr>
      <vt:lpstr>VOTV_TARIFF_C_VOTV_DEL_HL_DIAMETERS_COLUMN_MARKER</vt:lpstr>
      <vt:lpstr>VOTV_TARIFF_C_VOTV_DEL_HL_FLAG_DIFF_COLUMN_MARKER</vt:lpstr>
      <vt:lpstr>VOTV_TARIFF_C_VOTV_DEL_HL_GC_COLUMN_MARKER</vt:lpstr>
      <vt:lpstr>VOTV_TARIFF_C_VOTV_DEL_HL_LEN_COLUMN_MARKER</vt:lpstr>
      <vt:lpstr>VOTV_TARIFF_C_VOTV_DEL_HL_LOAD_COLUMN_MARKER</vt:lpstr>
      <vt:lpstr>VOTV_TARIFF_C_VOTV_DEL_HL_NETS_COLUMN_MARKER</vt:lpstr>
      <vt:lpstr>VOTV_TARIFF_C_VOTV_DELETE_PERIOD_ROW_MARKER</vt:lpstr>
      <vt:lpstr>VOTV_TARIFF_C_VOTV_FLAG_BLOCK_COLUMN_MARKER</vt:lpstr>
      <vt:lpstr>VOTV_TARIFF_C_VOTV_FLAG_BLOCK_ROW_MARKER</vt:lpstr>
      <vt:lpstr>VOTV_TARIFF_C_VOTV_NUM_CS_COLUMN_MARKER</vt:lpstr>
      <vt:lpstr>VOTV_TARIFF_C_VOTV_NUM_DATA_DIFF_COLUMN_MARKER</vt:lpstr>
      <vt:lpstr>VOTV_TARIFF_C_VOTV_NUM_DIAMETERS_COLUMN_MARKER</vt:lpstr>
      <vt:lpstr>VOTV_TARIFF_C_VOTV_NUM_FLAG_DIFF_COLUMN_MARKER</vt:lpstr>
      <vt:lpstr>VOTV_TARIFF_C_VOTV_NUM_GC_COLUMN_MARKER</vt:lpstr>
      <vt:lpstr>VOTV_TARIFF_C_VOTV_NUM_LEN_COLUMN_MARKER</vt:lpstr>
      <vt:lpstr>VOTV_TARIFF_C_VOTV_NUM_LOAD_COLUMN_MARKER</vt:lpstr>
      <vt:lpstr>VOTV_TARIFF_C_VOTV_NUM_NETS_COLUMN_MARKER</vt:lpstr>
      <vt:lpstr>VOTV_TARIFF_C_VOTV_NUM_NTAR_COLUMN_MARKER</vt:lpstr>
      <vt:lpstr>VOTV_TARIFF_C_VOTV_NUM_TER_COLUMN_MARKER</vt:lpstr>
      <vt:lpstr>VSNA_FIN_SRC_LIST</vt:lpstr>
      <vt:lpstr>VSNA_FIN_SRC_VLD_LIST</vt:lpstr>
      <vt:lpstr>VSNA_IP_EVENT_CI_STAGE_LIST</vt:lpstr>
      <vt:lpstr>VSNA_IP_EVENT_GROUP_LIST</vt:lpstr>
      <vt:lpstr>VSNA_IP_EVENT_SUBGROUP_1_LIST</vt:lpstr>
      <vt:lpstr>VSNA_IP_EVENT_SUBGROUP_3_LIST</vt:lpstr>
      <vt:lpstr>VSNA_IP_EVENT_SUBGROUP_5_LIST</vt:lpstr>
      <vt:lpstr>VSNA_IP_EVENT_TYPE_LIST</vt:lpstr>
      <vt:lpstr>VTAR_ID</vt:lpstr>
      <vt:lpstr>Y_N_DIFFERENTIATION_AREA</vt:lpstr>
      <vt:lpstr>Y_N_DIFFERENTIATION_SYSTEM</vt:lpstr>
      <vt:lpstr>YEAR_IP_LIST</vt:lpstr>
      <vt:lpstr>year_list</vt:lpstr>
      <vt:lpstr>year_list1</vt:lpstr>
    </vt:vector>
  </TitlesOfParts>
  <Company>ФАС России</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Информация, подлежащая раскрытию организациями сферы теплоснабжения (цены и тарифы)</dc:title>
  <dc:subject>Информация, подлежащая раскрытию организациями сферы теплоснабжения (цены и тарифы)</dc:subject>
  <dc:creator>--</dc:creator>
  <dc:description/>
  <cp:lastModifiedBy>еиас</cp:lastModifiedBy>
  <cp:lastPrinted>2024-04-15T09:45:31Z</cp:lastPrinted>
  <dcterms:created xsi:type="dcterms:W3CDTF">2004-05-21T07:18:45Z</dcterms:created>
  <dcterms:modified xsi:type="dcterms:W3CDTF">2024-04-15T09:45:46Z</dcterms:modified>
</cp:coreProperties>
</file>